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180762\Desktop\Datasheet見直し\デザインリファレンス\"/>
    </mc:Choice>
  </mc:AlternateContent>
  <workbookProtection workbookPassword="CA97" lockStructure="1"/>
  <bookViews>
    <workbookView xWindow="0" yWindow="0" windowWidth="24000" windowHeight="9750" tabRatio="836"/>
  </bookViews>
  <sheets>
    <sheet name="電流臨界モード" sheetId="1" r:id="rId1"/>
    <sheet name="電流連続モード" sheetId="13" r:id="rId2"/>
    <sheet name="パラメータ入力(連続動作状態チェック)" sheetId="22" state="hidden" r:id="rId3"/>
    <sheet name="パラメータ入力(連続定格出力)" sheetId="14" state="hidden" r:id="rId4"/>
    <sheet name="パラメータ入力(臨界動作状態チェック)" sheetId="4" state="hidden" r:id="rId5"/>
    <sheet name="パラメータ入力(臨界定格出力)" sheetId="9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3" l="1"/>
  <c r="G30" i="1"/>
  <c r="G58" i="13" l="1"/>
  <c r="G57" i="1"/>
  <c r="G52" i="1"/>
  <c r="G53" i="13"/>
  <c r="G55" i="13" l="1"/>
  <c r="G54" i="1"/>
  <c r="F2" i="9" l="1"/>
  <c r="F2" i="4"/>
  <c r="F2" i="14"/>
  <c r="F2" i="22"/>
  <c r="C5" i="22" l="1"/>
  <c r="E4" i="22"/>
  <c r="C4" i="22"/>
  <c r="E3" i="22"/>
  <c r="C3" i="22"/>
  <c r="E3" i="14"/>
  <c r="C5" i="14"/>
  <c r="C4" i="14"/>
  <c r="E4" i="14"/>
  <c r="C3" i="14"/>
  <c r="G72" i="13"/>
  <c r="G73" i="13" s="1"/>
  <c r="E5" i="22" s="1"/>
  <c r="G71" i="13"/>
  <c r="C2" i="22" s="1"/>
  <c r="G60" i="13"/>
  <c r="G36" i="13"/>
  <c r="G37" i="13" s="1"/>
  <c r="G33" i="13"/>
  <c r="G31" i="13"/>
  <c r="G50" i="13" s="1"/>
  <c r="G22" i="13"/>
  <c r="G17" i="13"/>
  <c r="G9" i="13"/>
  <c r="G20" i="13" s="1"/>
  <c r="G14" i="13" s="1"/>
  <c r="G16" i="13" s="1"/>
  <c r="L8" i="13"/>
  <c r="G8" i="13"/>
  <c r="G19" i="13" s="1"/>
  <c r="G13" i="13" s="1"/>
  <c r="G15" i="13" s="1"/>
  <c r="C2" i="14" s="1"/>
  <c r="C5" i="9"/>
  <c r="E4" i="9"/>
  <c r="C4" i="9"/>
  <c r="E3" i="9"/>
  <c r="C3" i="9"/>
  <c r="E4" i="4"/>
  <c r="E3" i="4"/>
  <c r="C5" i="4"/>
  <c r="C4" i="4"/>
  <c r="C3" i="4"/>
  <c r="G29" i="13" l="1"/>
  <c r="E2" i="22"/>
  <c r="M31" i="22" s="1"/>
  <c r="O30" i="22" s="1"/>
  <c r="L72" i="14"/>
  <c r="H5" i="14" s="1"/>
  <c r="L72" i="22"/>
  <c r="H5" i="22" s="1"/>
  <c r="C77" i="14"/>
  <c r="C76" i="14"/>
  <c r="C79" i="14"/>
  <c r="C78" i="14"/>
  <c r="K11" i="14" s="1"/>
  <c r="C80" i="14"/>
  <c r="C80" i="22"/>
  <c r="C76" i="22"/>
  <c r="C79" i="22"/>
  <c r="C78" i="22"/>
  <c r="K11" i="22" s="1"/>
  <c r="C77" i="22"/>
  <c r="G38" i="13"/>
  <c r="G39" i="13" s="1"/>
  <c r="G40" i="13" s="1"/>
  <c r="E5" i="14"/>
  <c r="E2" i="14" s="1"/>
  <c r="M31" i="14" s="1"/>
  <c r="C30" i="9"/>
  <c r="M30" i="9"/>
  <c r="M30" i="4"/>
  <c r="C30" i="4"/>
  <c r="M30" i="14"/>
  <c r="C30" i="14"/>
  <c r="C31" i="14" s="1"/>
  <c r="C32" i="14" s="1"/>
  <c r="C30" i="22"/>
  <c r="C31" i="22" s="1"/>
  <c r="M30" i="22"/>
  <c r="G43" i="13"/>
  <c r="G44" i="13" s="1"/>
  <c r="G45" i="13" s="1"/>
  <c r="G59" i="1"/>
  <c r="C32" i="22" l="1"/>
  <c r="L71" i="14"/>
  <c r="H4" i="14" s="1"/>
  <c r="H6" i="14" s="1"/>
  <c r="K10" i="14"/>
  <c r="L71" i="22"/>
  <c r="H4" i="22" s="1"/>
  <c r="H6" i="22" s="1"/>
  <c r="K10" i="22"/>
  <c r="O31" i="14"/>
  <c r="O30" i="14"/>
  <c r="O31" i="22"/>
  <c r="E30" i="14"/>
  <c r="E30" i="22"/>
  <c r="B39" i="22"/>
  <c r="B38" i="22"/>
  <c r="N38" i="14"/>
  <c r="M37" i="14"/>
  <c r="M32" i="14"/>
  <c r="G46" i="13"/>
  <c r="G59" i="13" s="1"/>
  <c r="G70" i="1"/>
  <c r="C2" i="4" s="1"/>
  <c r="L72" i="4" s="1"/>
  <c r="H5" i="4" s="1"/>
  <c r="C77" i="4" l="1"/>
  <c r="C78" i="4"/>
  <c r="K11" i="4" s="1"/>
  <c r="C80" i="4"/>
  <c r="C76" i="4"/>
  <c r="C79" i="4"/>
  <c r="C31" i="4"/>
  <c r="E30" i="4" s="1"/>
  <c r="E32" i="22"/>
  <c r="C38" i="22" s="1"/>
  <c r="N38" i="22"/>
  <c r="M37" i="22"/>
  <c r="M32" i="22"/>
  <c r="E31" i="22"/>
  <c r="L37" i="14"/>
  <c r="L39" i="14"/>
  <c r="L38" i="14"/>
  <c r="O32" i="14"/>
  <c r="B38" i="14"/>
  <c r="B39" i="14"/>
  <c r="E31" i="14"/>
  <c r="G47" i="13"/>
  <c r="G71" i="1"/>
  <c r="G72" i="1" s="1"/>
  <c r="E5" i="4" s="1"/>
  <c r="E2" i="4" s="1"/>
  <c r="M31" i="4" s="1"/>
  <c r="O31" i="4" s="1"/>
  <c r="G35" i="1"/>
  <c r="G36" i="1" s="1"/>
  <c r="G33" i="1"/>
  <c r="G37" i="1" s="1"/>
  <c r="N38" i="4" l="1"/>
  <c r="M37" i="4"/>
  <c r="O30" i="4"/>
  <c r="L37" i="4" s="1"/>
  <c r="M32" i="4"/>
  <c r="C68" i="14"/>
  <c r="C69" i="14"/>
  <c r="C66" i="14"/>
  <c r="L71" i="4"/>
  <c r="H4" i="4" s="1"/>
  <c r="K10" i="4"/>
  <c r="C32" i="4"/>
  <c r="E32" i="4" s="1"/>
  <c r="D39" i="22"/>
  <c r="L37" i="22"/>
  <c r="L39" i="22"/>
  <c r="L38" i="22"/>
  <c r="O32" i="22"/>
  <c r="D40" i="22"/>
  <c r="C37" i="22"/>
  <c r="E32" i="14"/>
  <c r="D39" i="14" s="1"/>
  <c r="D40" i="14"/>
  <c r="C37" i="14"/>
  <c r="B39" i="4"/>
  <c r="B38" i="4"/>
  <c r="G9" i="1"/>
  <c r="G20" i="1" s="1"/>
  <c r="G14" i="1" s="1"/>
  <c r="G16" i="1" s="1"/>
  <c r="O32" i="4" l="1"/>
  <c r="L38" i="4"/>
  <c r="L39" i="4"/>
  <c r="C66" i="4" s="1"/>
  <c r="F68" i="14"/>
  <c r="I68" i="14" s="1"/>
  <c r="C68" i="22"/>
  <c r="C66" i="22"/>
  <c r="C69" i="22"/>
  <c r="I71" i="14"/>
  <c r="B79" i="14"/>
  <c r="B78" i="14"/>
  <c r="B75" i="14"/>
  <c r="B77" i="14"/>
  <c r="B76" i="14"/>
  <c r="C38" i="14"/>
  <c r="E31" i="4"/>
  <c r="C37" i="4" s="1"/>
  <c r="D39" i="4"/>
  <c r="C38" i="4"/>
  <c r="G42" i="1"/>
  <c r="G43" i="1" s="1"/>
  <c r="C68" i="4" l="1"/>
  <c r="B76" i="4" s="1"/>
  <c r="C69" i="4"/>
  <c r="B78" i="4" s="1"/>
  <c r="F69" i="14"/>
  <c r="I69" i="14" s="1"/>
  <c r="G66" i="13" s="1"/>
  <c r="F69" i="22"/>
  <c r="I69" i="22" s="1"/>
  <c r="G81" i="13" s="1"/>
  <c r="F68" i="22"/>
  <c r="I68" i="22" s="1"/>
  <c r="G82" i="13" s="1"/>
  <c r="F69" i="4"/>
  <c r="I69" i="4" s="1"/>
  <c r="G80" i="1" s="1"/>
  <c r="F68" i="4"/>
  <c r="I68" i="4" s="1"/>
  <c r="G81" i="1" s="1"/>
  <c r="H3" i="14"/>
  <c r="G61" i="13" s="1"/>
  <c r="G62" i="13" s="1"/>
  <c r="D74" i="14"/>
  <c r="K8" i="14" s="1"/>
  <c r="B76" i="22"/>
  <c r="B75" i="22"/>
  <c r="H3" i="22" s="1"/>
  <c r="G74" i="13" s="1"/>
  <c r="G75" i="13" s="1"/>
  <c r="B77" i="22"/>
  <c r="B78" i="22"/>
  <c r="I71" i="22"/>
  <c r="B79" i="22"/>
  <c r="D40" i="4"/>
  <c r="H6" i="4"/>
  <c r="G44" i="1"/>
  <c r="D75" i="14" l="1"/>
  <c r="H2" i="14" s="1"/>
  <c r="K9" i="14" s="1"/>
  <c r="K5" i="14" s="1"/>
  <c r="G63" i="13" s="1"/>
  <c r="F70" i="14"/>
  <c r="L68" i="14" s="1"/>
  <c r="K2" i="14" s="1"/>
  <c r="G65" i="13" s="1"/>
  <c r="B77" i="4"/>
  <c r="B75" i="4"/>
  <c r="H3" i="4" s="1"/>
  <c r="G73" i="1" s="1"/>
  <c r="G74" i="1" s="1"/>
  <c r="I71" i="4"/>
  <c r="B79" i="4"/>
  <c r="D74" i="4"/>
  <c r="K8" i="4" s="1"/>
  <c r="D75" i="4"/>
  <c r="H2" i="4" s="1"/>
  <c r="F70" i="4"/>
  <c r="L68" i="4" s="1"/>
  <c r="K2" i="4" s="1"/>
  <c r="G79" i="1" s="1"/>
  <c r="I70" i="14"/>
  <c r="L69" i="14" s="1"/>
  <c r="F70" i="22"/>
  <c r="L68" i="22" s="1"/>
  <c r="K2" i="22" s="1"/>
  <c r="G80" i="13" s="1"/>
  <c r="D75" i="22"/>
  <c r="H2" i="22" s="1"/>
  <c r="D74" i="22"/>
  <c r="K8" i="22" s="1"/>
  <c r="G79" i="13" s="1"/>
  <c r="G45" i="1"/>
  <c r="G64" i="13" l="1"/>
  <c r="K3" i="14"/>
  <c r="G67" i="13" s="1"/>
  <c r="I70" i="4"/>
  <c r="L69" i="4" s="1"/>
  <c r="K3" i="4" s="1"/>
  <c r="G82" i="1" s="1"/>
  <c r="I70" i="22"/>
  <c r="L69" i="22" s="1"/>
  <c r="K9" i="22"/>
  <c r="K5" i="22" s="1"/>
  <c r="G76" i="13" s="1"/>
  <c r="G78" i="13"/>
  <c r="G77" i="13" s="1"/>
  <c r="L8" i="1"/>
  <c r="G31" i="1"/>
  <c r="G49" i="1" s="1"/>
  <c r="G17" i="1"/>
  <c r="G22" i="1"/>
  <c r="G8" i="1"/>
  <c r="G19" i="1" s="1"/>
  <c r="K4" i="14" l="1"/>
  <c r="G68" i="13" s="1"/>
  <c r="K3" i="22"/>
  <c r="G13" i="1"/>
  <c r="G15" i="1" s="1"/>
  <c r="C2" i="9" s="1"/>
  <c r="L72" i="9" s="1"/>
  <c r="H5" i="9" s="1"/>
  <c r="E5" i="9"/>
  <c r="E2" i="9" s="1"/>
  <c r="M31" i="9" s="1"/>
  <c r="K9" i="4"/>
  <c r="G78" i="1"/>
  <c r="G29" i="1"/>
  <c r="K4" i="22" l="1"/>
  <c r="G84" i="13" s="1"/>
  <c r="G83" i="13"/>
  <c r="M32" i="9"/>
  <c r="M37" i="9"/>
  <c r="O31" i="9"/>
  <c r="N38" i="9"/>
  <c r="C80" i="9"/>
  <c r="C76" i="9"/>
  <c r="C79" i="9"/>
  <c r="C78" i="9"/>
  <c r="K11" i="9" s="1"/>
  <c r="C77" i="9"/>
  <c r="C31" i="9"/>
  <c r="O30" i="9"/>
  <c r="G77" i="1"/>
  <c r="G76" i="1" s="1"/>
  <c r="K5" i="4"/>
  <c r="G75" i="1" s="1"/>
  <c r="K4" i="4"/>
  <c r="G83" i="1" s="1"/>
  <c r="G38" i="1"/>
  <c r="L71" i="9" l="1"/>
  <c r="H4" i="9" s="1"/>
  <c r="K10" i="9"/>
  <c r="C32" i="9"/>
  <c r="B38" i="9"/>
  <c r="B39" i="9"/>
  <c r="L39" i="9"/>
  <c r="L38" i="9"/>
  <c r="O32" i="9"/>
  <c r="L37" i="9"/>
  <c r="E30" i="9"/>
  <c r="G39" i="1"/>
  <c r="G58" i="1" s="1"/>
  <c r="G46" i="1"/>
  <c r="C66" i="9" l="1"/>
  <c r="C69" i="9"/>
  <c r="C68" i="9"/>
  <c r="H6" i="9"/>
  <c r="E31" i="9"/>
  <c r="E32" i="9"/>
  <c r="B76" i="9" l="1"/>
  <c r="B75" i="9"/>
  <c r="B77" i="9"/>
  <c r="B78" i="9"/>
  <c r="I71" i="9"/>
  <c r="B79" i="9"/>
  <c r="C38" i="9"/>
  <c r="D39" i="9"/>
  <c r="D40" i="9"/>
  <c r="C37" i="9"/>
  <c r="F68" i="9" l="1"/>
  <c r="I68" i="9" s="1"/>
  <c r="F69" i="9"/>
  <c r="I69" i="9" s="1"/>
  <c r="G65" i="1" s="1"/>
  <c r="H3" i="9"/>
  <c r="G60" i="1" s="1"/>
  <c r="G61" i="1" s="1"/>
  <c r="D74" i="9" l="1"/>
  <c r="K8" i="9" s="1"/>
  <c r="D75" i="9"/>
  <c r="H2" i="9" s="1"/>
  <c r="K9" i="9" s="1"/>
  <c r="F70" i="9"/>
  <c r="L68" i="9" s="1"/>
  <c r="K2" i="9" s="1"/>
  <c r="G64" i="1" s="1"/>
  <c r="I70" i="9"/>
  <c r="L69" i="9" s="1"/>
  <c r="K3" i="9" s="1"/>
  <c r="K5" i="9" l="1"/>
  <c r="G62" i="1" s="1"/>
  <c r="G63" i="1"/>
  <c r="G66" i="1"/>
  <c r="K4" i="9"/>
  <c r="G67" i="1" s="1"/>
</calcChain>
</file>

<file path=xl/sharedStrings.xml><?xml version="1.0" encoding="utf-8"?>
<sst xmlns="http://schemas.openxmlformats.org/spreadsheetml/2006/main" count="762" uniqueCount="288">
  <si>
    <t>Flyback-Converter Tansformer-Dsign</t>
    <phoneticPr fontId="1"/>
  </si>
  <si>
    <t>Ae</t>
    <phoneticPr fontId="1"/>
  </si>
  <si>
    <t>le</t>
    <phoneticPr fontId="1"/>
  </si>
  <si>
    <t>Parameter</t>
    <phoneticPr fontId="1"/>
  </si>
  <si>
    <t>Input</t>
    <phoneticPr fontId="1"/>
  </si>
  <si>
    <t>Result</t>
    <phoneticPr fontId="1"/>
  </si>
  <si>
    <t xml:space="preserve">Vo </t>
    <phoneticPr fontId="1"/>
  </si>
  <si>
    <t>Value</t>
    <phoneticPr fontId="1"/>
  </si>
  <si>
    <t>Unit</t>
    <phoneticPr fontId="1"/>
  </si>
  <si>
    <t>Vdc</t>
    <phoneticPr fontId="1"/>
  </si>
  <si>
    <t>Io</t>
    <phoneticPr fontId="1"/>
  </si>
  <si>
    <r>
      <rPr>
        <sz val="11"/>
        <color theme="1"/>
        <rFont val="ＭＳ Ｐゴシック"/>
        <family val="2"/>
        <charset val="128"/>
      </rPr>
      <t>電源仕様</t>
    </r>
    <rPh sb="0" eb="2">
      <t>デンゲン</t>
    </rPh>
    <rPh sb="2" eb="4">
      <t>シヨウ</t>
    </rPh>
    <phoneticPr fontId="1"/>
  </si>
  <si>
    <r>
      <rPr>
        <sz val="11"/>
        <color theme="1"/>
        <rFont val="ＭＳ Ｐゴシック"/>
        <family val="2"/>
        <charset val="128"/>
      </rPr>
      <t>出力電圧</t>
    </r>
    <rPh sb="0" eb="2">
      <t>シュツリョク</t>
    </rPh>
    <rPh sb="2" eb="4">
      <t>デンアツ</t>
    </rPh>
    <phoneticPr fontId="1"/>
  </si>
  <si>
    <t>Adc</t>
    <phoneticPr fontId="1"/>
  </si>
  <si>
    <t>最低入力電圧</t>
    <rPh sb="0" eb="2">
      <t>サイテイ</t>
    </rPh>
    <rPh sb="2" eb="4">
      <t>ニュウリョク</t>
    </rPh>
    <rPh sb="4" eb="6">
      <t>デンアツ</t>
    </rPh>
    <phoneticPr fontId="1"/>
  </si>
  <si>
    <t>Vac(min)</t>
    <phoneticPr fontId="1"/>
  </si>
  <si>
    <t>Vac</t>
    <phoneticPr fontId="1"/>
  </si>
  <si>
    <r>
      <rPr>
        <sz val="11"/>
        <color theme="1"/>
        <rFont val="ＭＳ Ｐゴシック"/>
        <family val="3"/>
        <charset val="128"/>
      </rPr>
      <t>最大入力電圧</t>
    </r>
    <rPh sb="0" eb="2">
      <t>サイダイ</t>
    </rPh>
    <rPh sb="2" eb="4">
      <t>ニュウリョク</t>
    </rPh>
    <rPh sb="4" eb="6">
      <t>デンアツ</t>
    </rPh>
    <phoneticPr fontId="1"/>
  </si>
  <si>
    <t>Vac(max)</t>
    <phoneticPr fontId="1"/>
  </si>
  <si>
    <t>η</t>
    <phoneticPr fontId="1"/>
  </si>
  <si>
    <t>%</t>
    <phoneticPr fontId="1"/>
  </si>
  <si>
    <r>
      <rPr>
        <sz val="11"/>
        <color theme="1"/>
        <rFont val="ＭＳ Ｐゴシック"/>
        <family val="3"/>
        <charset val="128"/>
      </rPr>
      <t>スイッチング周波数</t>
    </r>
    <rPh sb="6" eb="9">
      <t>シュウハスウ</t>
    </rPh>
    <phoneticPr fontId="1"/>
  </si>
  <si>
    <t>fsw</t>
    <phoneticPr fontId="1"/>
  </si>
  <si>
    <t>kHz</t>
    <phoneticPr fontId="1"/>
  </si>
  <si>
    <r>
      <t>μ</t>
    </r>
    <r>
      <rPr>
        <sz val="8"/>
        <color theme="1"/>
        <rFont val="Arial"/>
        <family val="2"/>
      </rPr>
      <t>0</t>
    </r>
    <phoneticPr fontId="1"/>
  </si>
  <si>
    <r>
      <t>μ</t>
    </r>
    <r>
      <rPr>
        <sz val="8"/>
        <color theme="1"/>
        <rFont val="Arial"/>
        <family val="2"/>
      </rPr>
      <t>c</t>
    </r>
    <phoneticPr fontId="1"/>
  </si>
  <si>
    <t>入力電解コンデンサ容量</t>
    <rPh sb="0" eb="2">
      <t>ニュウリョク</t>
    </rPh>
    <rPh sb="2" eb="4">
      <t>デンカイ</t>
    </rPh>
    <rPh sb="9" eb="11">
      <t>ヨウリョウ</t>
    </rPh>
    <phoneticPr fontId="1"/>
  </si>
  <si>
    <r>
      <t>2</t>
    </r>
    <r>
      <rPr>
        <sz val="11"/>
        <color theme="1"/>
        <rFont val="ＭＳ Ｐゴシック"/>
        <family val="3"/>
        <charset val="128"/>
      </rPr>
      <t>次側ダイオード</t>
    </r>
    <r>
      <rPr>
        <sz val="11"/>
        <color theme="1"/>
        <rFont val="Arial"/>
        <family val="2"/>
      </rPr>
      <t>VF</t>
    </r>
    <rPh sb="1" eb="2">
      <t>ジ</t>
    </rPh>
    <rPh sb="2" eb="3">
      <t>ガワ</t>
    </rPh>
    <phoneticPr fontId="1"/>
  </si>
  <si>
    <t>Cin</t>
    <phoneticPr fontId="1"/>
  </si>
  <si>
    <t>VF</t>
    <phoneticPr fontId="1"/>
  </si>
  <si>
    <t>uF</t>
    <phoneticPr fontId="1"/>
  </si>
  <si>
    <t>Vdc</t>
    <phoneticPr fontId="1"/>
  </si>
  <si>
    <t>T</t>
    <phoneticPr fontId="1"/>
  </si>
  <si>
    <t>使用部品</t>
    <rPh sb="0" eb="2">
      <t>シヨウ</t>
    </rPh>
    <rPh sb="2" eb="4">
      <t>ブヒン</t>
    </rPh>
    <phoneticPr fontId="1"/>
  </si>
  <si>
    <r>
      <t>Flyback</t>
    </r>
    <r>
      <rPr>
        <sz val="11"/>
        <color theme="1"/>
        <rFont val="ＭＳ Ｐゴシック"/>
        <family val="3"/>
        <charset val="128"/>
      </rPr>
      <t>電圧決定</t>
    </r>
    <rPh sb="7" eb="9">
      <t>デンアツ</t>
    </rPh>
    <rPh sb="9" eb="11">
      <t>ケッテイ</t>
    </rPh>
    <phoneticPr fontId="1"/>
  </si>
  <si>
    <r>
      <t>Parameter</t>
    </r>
    <r>
      <rPr>
        <sz val="11"/>
        <color theme="1"/>
        <rFont val="ＭＳ Ｐゴシック"/>
        <family val="3"/>
        <charset val="128"/>
      </rPr>
      <t>決定</t>
    </r>
    <rPh sb="9" eb="11">
      <t>ケッテイ</t>
    </rPh>
    <phoneticPr fontId="1"/>
  </si>
  <si>
    <t>出力電力</t>
    <rPh sb="0" eb="2">
      <t>シュツリョク</t>
    </rPh>
    <rPh sb="2" eb="4">
      <t>デンリョク</t>
    </rPh>
    <phoneticPr fontId="1"/>
  </si>
  <si>
    <t>Po</t>
    <phoneticPr fontId="1"/>
  </si>
  <si>
    <t>W</t>
    <phoneticPr fontId="1"/>
  </si>
  <si>
    <t>Vinripple</t>
    <phoneticPr fontId="1"/>
  </si>
  <si>
    <t>Vdc</t>
    <phoneticPr fontId="1"/>
  </si>
  <si>
    <t>Vdc(min)</t>
    <phoneticPr fontId="1"/>
  </si>
  <si>
    <t>スイッチング周期</t>
    <rPh sb="6" eb="8">
      <t>シュウキ</t>
    </rPh>
    <phoneticPr fontId="1"/>
  </si>
  <si>
    <t>us</t>
    <phoneticPr fontId="1"/>
  </si>
  <si>
    <r>
      <rPr>
        <sz val="11"/>
        <color theme="1"/>
        <rFont val="ＭＳ Ｐゴシック"/>
        <family val="3"/>
        <charset val="128"/>
      </rPr>
      <t>最大入力電圧</t>
    </r>
    <r>
      <rPr>
        <sz val="11"/>
        <color theme="1"/>
        <rFont val="Arial"/>
        <family val="2"/>
      </rPr>
      <t>(DC)</t>
    </r>
    <rPh sb="0" eb="2">
      <t>サイダイ</t>
    </rPh>
    <rPh sb="2" eb="4">
      <t>ニュウリョク</t>
    </rPh>
    <rPh sb="4" eb="6">
      <t>デンアツ</t>
    </rPh>
    <phoneticPr fontId="1"/>
  </si>
  <si>
    <t>Vdc(max)</t>
    <phoneticPr fontId="1"/>
  </si>
  <si>
    <t>Vdc</t>
    <phoneticPr fontId="1"/>
  </si>
  <si>
    <t>Vdc</t>
    <phoneticPr fontId="1"/>
  </si>
  <si>
    <r>
      <t>MOSFET</t>
    </r>
    <r>
      <rPr>
        <sz val="11"/>
        <color theme="1"/>
        <rFont val="ＭＳ Ｐゴシック"/>
        <family val="3"/>
        <charset val="128"/>
      </rPr>
      <t>サージ電圧(推定)</t>
    </r>
    <rPh sb="9" eb="11">
      <t>デンアツ</t>
    </rPh>
    <rPh sb="12" eb="14">
      <t>スイテイ</t>
    </rPh>
    <phoneticPr fontId="1"/>
  </si>
  <si>
    <r>
      <t>2</t>
    </r>
    <r>
      <rPr>
        <sz val="11"/>
        <color theme="1"/>
        <rFont val="ＭＳ Ｐゴシック"/>
        <family val="3"/>
        <charset val="128"/>
      </rPr>
      <t>次側ダイオードサージ電圧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推定</t>
    </r>
    <r>
      <rPr>
        <sz val="11"/>
        <color theme="1"/>
        <rFont val="Arial"/>
        <family val="2"/>
      </rPr>
      <t>)</t>
    </r>
    <rPh sb="1" eb="2">
      <t>ジ</t>
    </rPh>
    <rPh sb="2" eb="3">
      <t>ガワ</t>
    </rPh>
    <rPh sb="11" eb="13">
      <t>デンアツ</t>
    </rPh>
    <rPh sb="14" eb="16">
      <t>スイテイ</t>
    </rPh>
    <phoneticPr fontId="1"/>
  </si>
  <si>
    <t>Vsgm</t>
    <phoneticPr fontId="1"/>
  </si>
  <si>
    <t>Vsgd</t>
    <phoneticPr fontId="1"/>
  </si>
  <si>
    <t>Vdc</t>
    <phoneticPr fontId="1"/>
  </si>
  <si>
    <t>フライバック電圧</t>
    <rPh sb="6" eb="8">
      <t>デンアツ</t>
    </rPh>
    <phoneticPr fontId="1"/>
  </si>
  <si>
    <t>Vr</t>
    <phoneticPr fontId="1"/>
  </si>
  <si>
    <r>
      <t>MOSFET</t>
    </r>
    <r>
      <rPr>
        <sz val="11"/>
        <color theme="1"/>
        <rFont val="ＭＳ Ｐゴシック"/>
        <family val="3"/>
        <charset val="128"/>
      </rPr>
      <t>最大電圧</t>
    </r>
    <rPh sb="6" eb="8">
      <t>サイダイ</t>
    </rPh>
    <rPh sb="8" eb="10">
      <t>デンアツ</t>
    </rPh>
    <phoneticPr fontId="1"/>
  </si>
  <si>
    <t>Vds(max)</t>
    <phoneticPr fontId="1"/>
  </si>
  <si>
    <r>
      <t>2</t>
    </r>
    <r>
      <rPr>
        <sz val="11"/>
        <color theme="1"/>
        <rFont val="ＭＳ Ｐゴシック"/>
        <family val="3"/>
        <charset val="128"/>
      </rPr>
      <t>次側ダイオード最大電圧</t>
    </r>
    <rPh sb="1" eb="2">
      <t>ジ</t>
    </rPh>
    <rPh sb="2" eb="3">
      <t>ガワ</t>
    </rPh>
    <rPh sb="8" eb="10">
      <t>サイダイ</t>
    </rPh>
    <rPh sb="10" eb="12">
      <t>デンアツ</t>
    </rPh>
    <phoneticPr fontId="1"/>
  </si>
  <si>
    <t>Vd(max)</t>
    <phoneticPr fontId="1"/>
  </si>
  <si>
    <t>巻数比決定</t>
    <rPh sb="0" eb="1">
      <t>マ</t>
    </rPh>
    <rPh sb="1" eb="2">
      <t>スウ</t>
    </rPh>
    <rPh sb="2" eb="3">
      <t>ヒ</t>
    </rPh>
    <rPh sb="3" eb="5">
      <t>ケッテイ</t>
    </rPh>
    <phoneticPr fontId="1"/>
  </si>
  <si>
    <t>n=Np/Ns</t>
    <phoneticPr fontId="1"/>
  </si>
  <si>
    <t>n</t>
    <phoneticPr fontId="1"/>
  </si>
  <si>
    <t>D(max)</t>
    <phoneticPr fontId="1"/>
  </si>
  <si>
    <r>
      <t>1</t>
    </r>
    <r>
      <rPr>
        <sz val="11"/>
        <color theme="1"/>
        <rFont val="ＭＳ Ｐゴシック"/>
        <family val="3"/>
        <charset val="128"/>
      </rPr>
      <t>次側インダクタンス</t>
    </r>
    <rPh sb="1" eb="2">
      <t>ジ</t>
    </rPh>
    <rPh sb="2" eb="3">
      <t>ガワ</t>
    </rPh>
    <phoneticPr fontId="1"/>
  </si>
  <si>
    <t>Lp</t>
    <phoneticPr fontId="1"/>
  </si>
  <si>
    <t>Ton(max)</t>
    <phoneticPr fontId="1"/>
  </si>
  <si>
    <t>Pin</t>
    <phoneticPr fontId="1"/>
  </si>
  <si>
    <t>uH</t>
    <phoneticPr fontId="1"/>
  </si>
  <si>
    <t>Ip(peak)</t>
    <phoneticPr fontId="1"/>
  </si>
  <si>
    <t>A</t>
    <phoneticPr fontId="1"/>
  </si>
  <si>
    <r>
      <t>Ns</t>
    </r>
    <r>
      <rPr>
        <sz val="11"/>
        <color theme="1"/>
        <rFont val="ＭＳ Ｐゴシック"/>
        <family val="3"/>
        <charset val="128"/>
      </rPr>
      <t>決定</t>
    </r>
    <rPh sb="2" eb="4">
      <t>ケッテイ</t>
    </rPh>
    <phoneticPr fontId="1"/>
  </si>
  <si>
    <r>
      <t>2</t>
    </r>
    <r>
      <rPr>
        <sz val="11"/>
        <color theme="1"/>
        <rFont val="ＭＳ Ｐゴシック"/>
        <family val="3"/>
        <charset val="128"/>
      </rPr>
      <t>次側巻数</t>
    </r>
    <rPh sb="1" eb="2">
      <t>ジ</t>
    </rPh>
    <rPh sb="2" eb="3">
      <t>ガワ</t>
    </rPh>
    <rPh sb="3" eb="4">
      <t>マ</t>
    </rPh>
    <rPh sb="4" eb="5">
      <t>スウ</t>
    </rPh>
    <phoneticPr fontId="1"/>
  </si>
  <si>
    <t>Ns</t>
    <phoneticPr fontId="1"/>
  </si>
  <si>
    <r>
      <t>mm</t>
    </r>
    <r>
      <rPr>
        <vertAlign val="superscript"/>
        <sz val="11"/>
        <color theme="1"/>
        <rFont val="Arial"/>
        <family val="2"/>
      </rPr>
      <t>2</t>
    </r>
    <phoneticPr fontId="1"/>
  </si>
  <si>
    <r>
      <t>Np</t>
    </r>
    <r>
      <rPr>
        <sz val="11"/>
        <color theme="1"/>
        <rFont val="ＭＳ Ｐゴシック"/>
        <family val="3"/>
        <charset val="128"/>
      </rPr>
      <t>決定</t>
    </r>
    <rPh sb="2" eb="4">
      <t>ケッテイ</t>
    </rPh>
    <phoneticPr fontId="1"/>
  </si>
  <si>
    <r>
      <t>1</t>
    </r>
    <r>
      <rPr>
        <sz val="11"/>
        <color theme="1"/>
        <rFont val="ＭＳ Ｐゴシック"/>
        <family val="3"/>
        <charset val="128"/>
      </rPr>
      <t>次側巻数</t>
    </r>
    <rPh sb="1" eb="2">
      <t>ジ</t>
    </rPh>
    <rPh sb="2" eb="3">
      <t>ガワ</t>
    </rPh>
    <rPh sb="3" eb="4">
      <t>マ</t>
    </rPh>
    <rPh sb="4" eb="5">
      <t>スウ</t>
    </rPh>
    <phoneticPr fontId="1"/>
  </si>
  <si>
    <t>Np</t>
    <phoneticPr fontId="1"/>
  </si>
  <si>
    <r>
      <t>gap</t>
    </r>
    <r>
      <rPr>
        <sz val="11"/>
        <color theme="1"/>
        <rFont val="ＭＳ Ｐゴシック"/>
        <family val="3"/>
        <charset val="128"/>
      </rPr>
      <t>決定</t>
    </r>
    <rPh sb="3" eb="5">
      <t>ケッテイ</t>
    </rPh>
    <phoneticPr fontId="1"/>
  </si>
  <si>
    <t>gap</t>
    <phoneticPr fontId="1"/>
  </si>
  <si>
    <r>
      <rPr>
        <sz val="11"/>
        <color theme="1"/>
        <rFont val="ＭＳ Ｐゴシック"/>
        <family val="3"/>
        <charset val="128"/>
      </rPr>
      <t>ギャップ</t>
    </r>
    <phoneticPr fontId="1"/>
  </si>
  <si>
    <t>計算結果チェック</t>
    <rPh sb="0" eb="2">
      <t>ケイサン</t>
    </rPh>
    <rPh sb="2" eb="4">
      <t>ケッカ</t>
    </rPh>
    <phoneticPr fontId="1"/>
  </si>
  <si>
    <t>電流臨界モード</t>
    <rPh sb="0" eb="2">
      <t>デンリュウ</t>
    </rPh>
    <rPh sb="2" eb="4">
      <t>リンカイ</t>
    </rPh>
    <phoneticPr fontId="1"/>
  </si>
  <si>
    <t>Step</t>
    <phoneticPr fontId="1"/>
  </si>
  <si>
    <t>mm</t>
    <phoneticPr fontId="1"/>
  </si>
  <si>
    <t>Item</t>
    <phoneticPr fontId="1"/>
  </si>
  <si>
    <t>Parameter</t>
    <phoneticPr fontId="1"/>
  </si>
  <si>
    <t>core data</t>
    <phoneticPr fontId="1"/>
  </si>
  <si>
    <t>コア有効断面積</t>
    <rPh sb="2" eb="4">
      <t>ユウコウ</t>
    </rPh>
    <rPh sb="4" eb="7">
      <t>ダンメンセキ</t>
    </rPh>
    <phoneticPr fontId="1"/>
  </si>
  <si>
    <t>コア有効磁路長</t>
    <rPh sb="2" eb="4">
      <t>ユウコウ</t>
    </rPh>
    <rPh sb="4" eb="6">
      <t>ジロ</t>
    </rPh>
    <rPh sb="6" eb="7">
      <t>チョウ</t>
    </rPh>
    <phoneticPr fontId="1"/>
  </si>
  <si>
    <t>真空透磁率</t>
    <rPh sb="0" eb="2">
      <t>シンクウ</t>
    </rPh>
    <rPh sb="2" eb="5">
      <t>トウジリツ</t>
    </rPh>
    <phoneticPr fontId="1"/>
  </si>
  <si>
    <t>振幅透磁率</t>
    <rPh sb="0" eb="2">
      <t>シンプク</t>
    </rPh>
    <rPh sb="2" eb="5">
      <t>トウジリツ</t>
    </rPh>
    <phoneticPr fontId="1"/>
  </si>
  <si>
    <t>最低入力周波数</t>
    <rPh sb="0" eb="2">
      <t>サイテイ</t>
    </rPh>
    <rPh sb="2" eb="4">
      <t>ニュウリョク</t>
    </rPh>
    <rPh sb="4" eb="7">
      <t>シュウハスウ</t>
    </rPh>
    <phoneticPr fontId="1"/>
  </si>
  <si>
    <t>Hz</t>
    <phoneticPr fontId="1"/>
  </si>
  <si>
    <t>fac(min)</t>
    <phoneticPr fontId="1"/>
  </si>
  <si>
    <t>uH</t>
    <phoneticPr fontId="1"/>
  </si>
  <si>
    <t>Tn</t>
    <phoneticPr fontId="1"/>
  </si>
  <si>
    <t>mm</t>
    <phoneticPr fontId="1"/>
  </si>
  <si>
    <t>T</t>
    <phoneticPr fontId="1"/>
  </si>
  <si>
    <t>電流連続モード</t>
    <rPh sb="0" eb="2">
      <t>デンリュウ</t>
    </rPh>
    <rPh sb="2" eb="4">
      <t>レンゾク</t>
    </rPh>
    <phoneticPr fontId="1"/>
  </si>
  <si>
    <t>連続度</t>
    <rPh sb="0" eb="2">
      <t>レンゾク</t>
    </rPh>
    <rPh sb="2" eb="3">
      <t>ド</t>
    </rPh>
    <phoneticPr fontId="1"/>
  </si>
  <si>
    <t>Bm</t>
    <phoneticPr fontId="1"/>
  </si>
  <si>
    <t>T</t>
    <phoneticPr fontId="1"/>
  </si>
  <si>
    <t>使用最大磁束密度</t>
    <rPh sb="0" eb="2">
      <t>シヨウ</t>
    </rPh>
    <phoneticPr fontId="1"/>
  </si>
  <si>
    <t>1次側電流(実効値)</t>
    <rPh sb="1" eb="2">
      <t>ジ</t>
    </rPh>
    <rPh sb="2" eb="3">
      <t>ガワ</t>
    </rPh>
    <rPh sb="3" eb="5">
      <t>デンリュウ</t>
    </rPh>
    <rPh sb="6" eb="9">
      <t>ジッコウチ</t>
    </rPh>
    <phoneticPr fontId="1"/>
  </si>
  <si>
    <t>Arms</t>
    <phoneticPr fontId="1"/>
  </si>
  <si>
    <t>Iprms</t>
    <phoneticPr fontId="1"/>
  </si>
  <si>
    <r>
      <t>2</t>
    </r>
    <r>
      <rPr>
        <sz val="11"/>
        <color theme="1"/>
        <rFont val="ＭＳ Ｐゴシック"/>
        <family val="3"/>
        <charset val="128"/>
      </rPr>
      <t>次側電流(実効値)</t>
    </r>
    <rPh sb="1" eb="2">
      <t>ジ</t>
    </rPh>
    <rPh sb="2" eb="3">
      <t>ガワ</t>
    </rPh>
    <rPh sb="3" eb="5">
      <t>デンリュウ</t>
    </rPh>
    <rPh sb="6" eb="9">
      <t>ジッコウチ</t>
    </rPh>
    <phoneticPr fontId="1"/>
  </si>
  <si>
    <t>Isrms</t>
    <phoneticPr fontId="1"/>
  </si>
  <si>
    <t>出力コンデンサ電流(実効値)</t>
    <rPh sb="0" eb="2">
      <t>シュツリョク</t>
    </rPh>
    <rPh sb="7" eb="9">
      <t>デンリュウ</t>
    </rPh>
    <rPh sb="10" eb="13">
      <t>ジッコウチ</t>
    </rPh>
    <phoneticPr fontId="1"/>
  </si>
  <si>
    <t>Icrms</t>
    <phoneticPr fontId="1"/>
  </si>
  <si>
    <t>Arms</t>
    <phoneticPr fontId="1"/>
  </si>
  <si>
    <r>
      <rPr>
        <sz val="11"/>
        <color theme="1"/>
        <rFont val="ＭＳ Ｐゴシック"/>
        <family val="3"/>
        <charset val="128"/>
      </rPr>
      <t>⊿</t>
    </r>
    <r>
      <rPr>
        <sz val="11"/>
        <color theme="1"/>
        <rFont val="Arial"/>
        <family val="2"/>
      </rPr>
      <t>B</t>
    </r>
    <phoneticPr fontId="1"/>
  </si>
  <si>
    <r>
      <t>1</t>
    </r>
    <r>
      <rPr>
        <sz val="11"/>
        <color theme="1"/>
        <rFont val="ＭＳ Ｐゴシック"/>
        <family val="3"/>
        <charset val="128"/>
      </rPr>
      <t>次側ピーク電流</t>
    </r>
    <r>
      <rPr>
        <sz val="11"/>
        <color theme="1"/>
        <rFont val="Arial"/>
        <family val="2"/>
      </rPr>
      <t>:Vac(min)</t>
    </r>
    <rPh sb="1" eb="2">
      <t>ジ</t>
    </rPh>
    <rPh sb="2" eb="3">
      <t>ガワ</t>
    </rPh>
    <rPh sb="6" eb="8">
      <t>デンリュウ</t>
    </rPh>
    <phoneticPr fontId="1"/>
  </si>
  <si>
    <t>使用最大磁束密度</t>
    <rPh sb="0" eb="2">
      <t>シヨウ</t>
    </rPh>
    <rPh sb="2" eb="4">
      <t>サイダイ</t>
    </rPh>
    <rPh sb="4" eb="6">
      <t>ジソク</t>
    </rPh>
    <rPh sb="6" eb="8">
      <t>ミツド</t>
    </rPh>
    <phoneticPr fontId="1"/>
  </si>
  <si>
    <t>Vdc</t>
    <phoneticPr fontId="1"/>
  </si>
  <si>
    <t>過負荷保護動作電流</t>
    <rPh sb="0" eb="3">
      <t>カフカ</t>
    </rPh>
    <rPh sb="3" eb="5">
      <t>ホゴ</t>
    </rPh>
    <rPh sb="5" eb="7">
      <t>ドウサ</t>
    </rPh>
    <rPh sb="7" eb="9">
      <t>デンリュウ</t>
    </rPh>
    <phoneticPr fontId="1"/>
  </si>
  <si>
    <t>Iolp</t>
    <phoneticPr fontId="1"/>
  </si>
  <si>
    <t>Adc</t>
    <phoneticPr fontId="1"/>
  </si>
  <si>
    <t>過負荷保護出力電力</t>
    <rPh sb="0" eb="3">
      <t>カフカ</t>
    </rPh>
    <rPh sb="3" eb="5">
      <t>ホゴ</t>
    </rPh>
    <rPh sb="5" eb="7">
      <t>シュツリョク</t>
    </rPh>
    <rPh sb="7" eb="9">
      <t>デンリョク</t>
    </rPh>
    <phoneticPr fontId="1"/>
  </si>
  <si>
    <t>Polp</t>
    <phoneticPr fontId="1"/>
  </si>
  <si>
    <t>W</t>
    <phoneticPr fontId="1"/>
  </si>
  <si>
    <t>定格出力時リップル電圧</t>
    <rPh sb="0" eb="2">
      <t>テイカク</t>
    </rPh>
    <rPh sb="2" eb="4">
      <t>シュツリョク</t>
    </rPh>
    <rPh sb="4" eb="5">
      <t>ジ</t>
    </rPh>
    <rPh sb="9" eb="11">
      <t>デンアツ</t>
    </rPh>
    <phoneticPr fontId="1"/>
  </si>
  <si>
    <t>過負荷時リップル電圧</t>
    <rPh sb="0" eb="3">
      <t>カフカ</t>
    </rPh>
    <rPh sb="3" eb="4">
      <t>ジ</t>
    </rPh>
    <rPh sb="8" eb="10">
      <t>デンアツ</t>
    </rPh>
    <phoneticPr fontId="1"/>
  </si>
  <si>
    <t>Vrippleolp</t>
    <phoneticPr fontId="1"/>
  </si>
  <si>
    <t>定格出力時入力電力</t>
    <rPh sb="0" eb="2">
      <t>テイカク</t>
    </rPh>
    <rPh sb="2" eb="4">
      <t>シュツリョク</t>
    </rPh>
    <rPh sb="4" eb="5">
      <t>ジ</t>
    </rPh>
    <rPh sb="5" eb="7">
      <t>ニュウリョク</t>
    </rPh>
    <rPh sb="7" eb="9">
      <t>デンリョク</t>
    </rPh>
    <phoneticPr fontId="1"/>
  </si>
  <si>
    <t>過負荷時入力電力</t>
    <rPh sb="0" eb="3">
      <t>カフカ</t>
    </rPh>
    <rPh sb="3" eb="4">
      <t>ジ</t>
    </rPh>
    <rPh sb="4" eb="6">
      <t>ニュウリョク</t>
    </rPh>
    <rPh sb="6" eb="8">
      <t>デンリョク</t>
    </rPh>
    <phoneticPr fontId="1"/>
  </si>
  <si>
    <t>Pinolp</t>
    <phoneticPr fontId="1"/>
  </si>
  <si>
    <t>W</t>
    <phoneticPr fontId="1"/>
  </si>
  <si>
    <t>入力電圧</t>
    <rPh sb="0" eb="2">
      <t>ニュウリョク</t>
    </rPh>
    <rPh sb="2" eb="4">
      <t>デンアツ</t>
    </rPh>
    <phoneticPr fontId="1"/>
  </si>
  <si>
    <t>Vac</t>
    <phoneticPr fontId="1"/>
  </si>
  <si>
    <t>出力電流</t>
    <rPh sb="0" eb="2">
      <t>シュツリョク</t>
    </rPh>
    <rPh sb="2" eb="4">
      <t>デンリュウ</t>
    </rPh>
    <phoneticPr fontId="1"/>
  </si>
  <si>
    <t>A</t>
    <phoneticPr fontId="1"/>
  </si>
  <si>
    <t>Vin(cr)</t>
    <phoneticPr fontId="1"/>
  </si>
  <si>
    <r>
      <rPr>
        <sz val="11"/>
        <color theme="1"/>
        <rFont val="ＭＳ Ｐゴシック"/>
        <family val="3"/>
        <charset val="128"/>
      </rPr>
      <t>定格出力時最低入力電圧</t>
    </r>
    <r>
      <rPr>
        <sz val="11"/>
        <color theme="1"/>
        <rFont val="Arial"/>
        <family val="2"/>
      </rPr>
      <t>(DC)</t>
    </r>
    <rPh sb="0" eb="2">
      <t>テイカク</t>
    </rPh>
    <rPh sb="2" eb="4">
      <t>シュツリョク</t>
    </rPh>
    <rPh sb="4" eb="5">
      <t>ジ</t>
    </rPh>
    <rPh sb="5" eb="7">
      <t>サイテイ</t>
    </rPh>
    <rPh sb="7" eb="9">
      <t>ニュウリョク</t>
    </rPh>
    <rPh sb="9" eb="11">
      <t>デンアツ</t>
    </rPh>
    <phoneticPr fontId="1"/>
  </si>
  <si>
    <t>過負荷時最低入力電圧(DC)</t>
    <rPh sb="0" eb="3">
      <t>カフカ</t>
    </rPh>
    <rPh sb="3" eb="4">
      <t>ジ</t>
    </rPh>
    <rPh sb="4" eb="6">
      <t>サイテイ</t>
    </rPh>
    <rPh sb="6" eb="8">
      <t>ニュウリョク</t>
    </rPh>
    <rPh sb="8" eb="10">
      <t>デンアツ</t>
    </rPh>
    <phoneticPr fontId="1"/>
  </si>
  <si>
    <t>Vdcolp(min)</t>
    <phoneticPr fontId="1"/>
  </si>
  <si>
    <t>Vdc</t>
    <phoneticPr fontId="1"/>
  </si>
  <si>
    <r>
      <t>Duty,Lp</t>
    </r>
    <r>
      <rPr>
        <sz val="11"/>
        <color theme="1"/>
        <rFont val="ＭＳ Ｐゴシック"/>
        <family val="3"/>
        <charset val="128"/>
      </rPr>
      <t>計算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臨界モード</t>
    </r>
    <r>
      <rPr>
        <sz val="11"/>
        <color theme="1"/>
        <rFont val="Arial"/>
        <family val="2"/>
      </rPr>
      <t>)</t>
    </r>
    <rPh sb="7" eb="9">
      <t>ケイサン</t>
    </rPh>
    <rPh sb="10" eb="12">
      <t>リンカイ</t>
    </rPh>
    <phoneticPr fontId="1"/>
  </si>
  <si>
    <t>D(cr)</t>
    <phoneticPr fontId="1"/>
  </si>
  <si>
    <t>Ton(cr)</t>
    <phoneticPr fontId="1"/>
  </si>
  <si>
    <t>Io(cr)</t>
    <phoneticPr fontId="1"/>
  </si>
  <si>
    <t>Vindc(cr)</t>
    <phoneticPr fontId="1"/>
  </si>
  <si>
    <t>Vdc</t>
    <phoneticPr fontId="1"/>
  </si>
  <si>
    <t>臨界モード時出力電力</t>
    <rPh sb="0" eb="2">
      <t>リンカイ</t>
    </rPh>
    <rPh sb="5" eb="6">
      <t>ジ</t>
    </rPh>
    <rPh sb="6" eb="8">
      <t>シュツリョク</t>
    </rPh>
    <rPh sb="8" eb="10">
      <t>デンリョク</t>
    </rPh>
    <phoneticPr fontId="1"/>
  </si>
  <si>
    <t>臨界モード時入力電力</t>
    <rPh sb="0" eb="2">
      <t>リンカイ</t>
    </rPh>
    <rPh sb="5" eb="6">
      <t>ジ</t>
    </rPh>
    <rPh sb="6" eb="8">
      <t>ニュウリョク</t>
    </rPh>
    <rPh sb="8" eb="10">
      <t>デンリョク</t>
    </rPh>
    <phoneticPr fontId="1"/>
  </si>
  <si>
    <t>Po(cr)</t>
    <phoneticPr fontId="1"/>
  </si>
  <si>
    <t>Pin(cr)</t>
    <phoneticPr fontId="1"/>
  </si>
  <si>
    <t>W</t>
    <phoneticPr fontId="1"/>
  </si>
  <si>
    <r>
      <t>Ip(peak)</t>
    </r>
    <r>
      <rPr>
        <sz val="11"/>
        <color theme="1"/>
        <rFont val="ＭＳ Ｐゴシック"/>
        <family val="3"/>
        <charset val="128"/>
      </rPr>
      <t>計算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連続モード</t>
    </r>
    <r>
      <rPr>
        <sz val="11"/>
        <color theme="1"/>
        <rFont val="Arial"/>
        <family val="2"/>
      </rPr>
      <t>)</t>
    </r>
    <rPh sb="8" eb="10">
      <t>ケイサン</t>
    </rPh>
    <rPh sb="11" eb="13">
      <t>レンゾク</t>
    </rPh>
    <phoneticPr fontId="1"/>
  </si>
  <si>
    <t>Duty:Vin(cr)</t>
    <phoneticPr fontId="1"/>
  </si>
  <si>
    <r>
      <t>ON</t>
    </r>
    <r>
      <rPr>
        <sz val="11"/>
        <color theme="1"/>
        <rFont val="ＭＳ Ｐゴシック"/>
        <family val="3"/>
        <charset val="128"/>
      </rPr>
      <t>時間</t>
    </r>
    <r>
      <rPr>
        <sz val="11"/>
        <color theme="1"/>
        <rFont val="Arial"/>
        <family val="2"/>
      </rPr>
      <t>:Vac(cr)</t>
    </r>
    <rPh sb="2" eb="4">
      <t>ジカン</t>
    </rPh>
    <phoneticPr fontId="1"/>
  </si>
  <si>
    <r>
      <rPr>
        <sz val="11"/>
        <color theme="1"/>
        <rFont val="ＭＳ Ｐゴシック"/>
        <family val="3"/>
        <charset val="128"/>
      </rPr>
      <t>最大</t>
    </r>
    <r>
      <rPr>
        <sz val="11"/>
        <color theme="1"/>
        <rFont val="Arial"/>
        <family val="2"/>
      </rPr>
      <t>Duty:Vac(min)</t>
    </r>
    <phoneticPr fontId="1"/>
  </si>
  <si>
    <r>
      <rPr>
        <sz val="11"/>
        <color theme="1"/>
        <rFont val="ＭＳ Ｐゴシック"/>
        <family val="3"/>
        <charset val="128"/>
      </rPr>
      <t>最大</t>
    </r>
    <r>
      <rPr>
        <sz val="11"/>
        <color theme="1"/>
        <rFont val="Arial"/>
        <family val="2"/>
      </rPr>
      <t>ON</t>
    </r>
    <r>
      <rPr>
        <sz val="11"/>
        <color theme="1"/>
        <rFont val="ＭＳ Ｐゴシック"/>
        <family val="3"/>
        <charset val="128"/>
      </rPr>
      <t>時間</t>
    </r>
    <r>
      <rPr>
        <sz val="11"/>
        <color theme="1"/>
        <rFont val="Arial"/>
        <family val="2"/>
      </rPr>
      <t>:Vac(min)</t>
    </r>
    <phoneticPr fontId="1"/>
  </si>
  <si>
    <t>us</t>
    <phoneticPr fontId="1"/>
  </si>
  <si>
    <t>k</t>
    <phoneticPr fontId="1"/>
  </si>
  <si>
    <r>
      <t>k</t>
    </r>
    <r>
      <rPr>
        <sz val="11"/>
        <color theme="1"/>
        <rFont val="ＭＳ Ｐゴシック"/>
        <family val="3"/>
        <charset val="128"/>
      </rPr>
      <t>：</t>
    </r>
    <r>
      <rPr>
        <sz val="11"/>
        <color theme="1"/>
        <rFont val="Arial"/>
        <family val="2"/>
      </rPr>
      <t>Vac(min)</t>
    </r>
    <phoneticPr fontId="1"/>
  </si>
  <si>
    <r>
      <t>D(max)</t>
    </r>
    <r>
      <rPr>
        <sz val="11"/>
        <color theme="1"/>
        <rFont val="ＭＳ Ｐゴシック"/>
        <family val="3"/>
        <charset val="128"/>
      </rPr>
      <t>計算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連続モード</t>
    </r>
    <r>
      <rPr>
        <sz val="11"/>
        <color theme="1"/>
        <rFont val="Arial"/>
        <family val="2"/>
      </rPr>
      <t>)
OLP</t>
    </r>
    <r>
      <rPr>
        <sz val="11"/>
        <color theme="1"/>
        <rFont val="ＭＳ Ｐゴシック"/>
        <family val="3"/>
        <charset val="128"/>
      </rPr>
      <t>時</t>
    </r>
    <rPh sb="6" eb="8">
      <t>ケイサン</t>
    </rPh>
    <rPh sb="9" eb="11">
      <t>レンゾク</t>
    </rPh>
    <rPh sb="19" eb="20">
      <t>ジ</t>
    </rPh>
    <phoneticPr fontId="1"/>
  </si>
  <si>
    <t>Duty</t>
    <phoneticPr fontId="1"/>
  </si>
  <si>
    <t>Ton</t>
    <phoneticPr fontId="1"/>
  </si>
  <si>
    <t>us</t>
    <phoneticPr fontId="1"/>
  </si>
  <si>
    <t>D</t>
    <phoneticPr fontId="1"/>
  </si>
  <si>
    <t>Ipeak</t>
    <phoneticPr fontId="1"/>
  </si>
  <si>
    <t>出力電力</t>
    <rPh sb="0" eb="2">
      <t>シュツリョク</t>
    </rPh>
    <rPh sb="2" eb="4">
      <t>デンリョク</t>
    </rPh>
    <phoneticPr fontId="1"/>
  </si>
  <si>
    <t>入力電力</t>
    <rPh sb="0" eb="2">
      <t>ニュウリョク</t>
    </rPh>
    <rPh sb="2" eb="4">
      <t>デンリョク</t>
    </rPh>
    <phoneticPr fontId="1"/>
  </si>
  <si>
    <t>Vac</t>
    <phoneticPr fontId="1"/>
  </si>
  <si>
    <t>Duty</t>
    <phoneticPr fontId="1"/>
  </si>
  <si>
    <r>
      <rPr>
        <sz val="11"/>
        <color theme="1"/>
        <rFont val="ＭＳ Ｐゴシック"/>
        <family val="3"/>
        <charset val="128"/>
      </rPr>
      <t>入力電圧</t>
    </r>
    <r>
      <rPr>
        <sz val="11"/>
        <color theme="1"/>
        <rFont val="Arial"/>
        <family val="2"/>
      </rPr>
      <t>(DC)</t>
    </r>
    <rPh sb="0" eb="2">
      <t>ニュウリョク</t>
    </rPh>
    <rPh sb="2" eb="4">
      <t>デンアツ</t>
    </rPh>
    <phoneticPr fontId="1"/>
  </si>
  <si>
    <t>Vdc</t>
    <phoneticPr fontId="1"/>
  </si>
  <si>
    <t>us</t>
    <phoneticPr fontId="1"/>
  </si>
  <si>
    <t>Vinac</t>
    <phoneticPr fontId="1"/>
  </si>
  <si>
    <t>Io</t>
    <phoneticPr fontId="1"/>
  </si>
  <si>
    <t>Vindc</t>
    <phoneticPr fontId="1"/>
  </si>
  <si>
    <t>Pin</t>
    <phoneticPr fontId="1"/>
  </si>
  <si>
    <t>Po</t>
    <phoneticPr fontId="1"/>
  </si>
  <si>
    <t>D</t>
  </si>
  <si>
    <t>D</t>
    <phoneticPr fontId="1"/>
  </si>
  <si>
    <t>Ton</t>
    <phoneticPr fontId="1"/>
  </si>
  <si>
    <r>
      <t>ON</t>
    </r>
    <r>
      <rPr>
        <sz val="11"/>
        <color theme="1"/>
        <rFont val="ＭＳ Ｐゴシック"/>
        <family val="3"/>
        <charset val="128"/>
      </rPr>
      <t>時間</t>
    </r>
    <r>
      <rPr>
        <sz val="11"/>
        <color theme="1"/>
        <rFont val="Arial"/>
        <family val="2"/>
      </rPr>
      <t>:Vac(min)</t>
    </r>
    <rPh sb="2" eb="4">
      <t>ジカン</t>
    </rPh>
    <phoneticPr fontId="1"/>
  </si>
  <si>
    <r>
      <t>ON</t>
    </r>
    <r>
      <rPr>
        <sz val="11"/>
        <color theme="1"/>
        <rFont val="ＭＳ Ｐゴシック"/>
        <family val="3"/>
        <charset val="128"/>
      </rPr>
      <t>時間</t>
    </r>
    <rPh sb="2" eb="4">
      <t>ジカン</t>
    </rPh>
    <phoneticPr fontId="1"/>
  </si>
  <si>
    <t>Vr</t>
    <phoneticPr fontId="1"/>
  </si>
  <si>
    <t>Vdc</t>
    <phoneticPr fontId="1"/>
  </si>
  <si>
    <t>Ipeak</t>
    <phoneticPr fontId="1"/>
  </si>
  <si>
    <t>A</t>
    <phoneticPr fontId="1"/>
  </si>
  <si>
    <t>Ipeak1</t>
    <phoneticPr fontId="1"/>
  </si>
  <si>
    <t>A</t>
    <phoneticPr fontId="1"/>
  </si>
  <si>
    <t>Vds</t>
  </si>
  <si>
    <t>Id</t>
  </si>
  <si>
    <t>Ip</t>
  </si>
  <si>
    <t>Vin(Vdc)</t>
  </si>
  <si>
    <t>Io(A)</t>
  </si>
  <si>
    <t>Ip</t>
    <phoneticPr fontId="9"/>
  </si>
  <si>
    <t>A</t>
    <phoneticPr fontId="9"/>
  </si>
  <si>
    <t>Iprms</t>
    <phoneticPr fontId="9"/>
  </si>
  <si>
    <t>Vo(Vdc)</t>
  </si>
  <si>
    <t>Lp(mH)</t>
  </si>
  <si>
    <t>Duty</t>
    <phoneticPr fontId="9"/>
  </si>
  <si>
    <t>Isrms</t>
    <phoneticPr fontId="9"/>
  </si>
  <si>
    <t>np</t>
  </si>
  <si>
    <t>fsw(kHz)</t>
  </si>
  <si>
    <t>VR</t>
    <phoneticPr fontId="9"/>
  </si>
  <si>
    <t>V</t>
    <phoneticPr fontId="9"/>
  </si>
  <si>
    <t>Isripple</t>
    <phoneticPr fontId="9"/>
  </si>
  <si>
    <t>ns</t>
  </si>
  <si>
    <r>
      <t>2</t>
    </r>
    <r>
      <rPr>
        <sz val="11"/>
        <rFont val="ＭＳ Ｐゴシック"/>
        <family val="3"/>
        <charset val="128"/>
      </rPr>
      <t>次</t>
    </r>
    <r>
      <rPr>
        <sz val="11"/>
        <rFont val="Arial"/>
        <family val="2"/>
      </rPr>
      <t>D</t>
    </r>
    <rPh sb="1" eb="2">
      <t>ジ</t>
    </rPh>
    <phoneticPr fontId="9"/>
  </si>
  <si>
    <t>K</t>
    <phoneticPr fontId="9"/>
  </si>
  <si>
    <t>Vds</t>
    <phoneticPr fontId="9"/>
  </si>
  <si>
    <t>Io</t>
    <phoneticPr fontId="9"/>
  </si>
  <si>
    <t>Vds0</t>
    <phoneticPr fontId="9"/>
  </si>
  <si>
    <t>Vds1</t>
    <phoneticPr fontId="9"/>
  </si>
  <si>
    <t>Vo'</t>
  </si>
  <si>
    <t>Dc</t>
  </si>
  <si>
    <t>Imean</t>
  </si>
  <si>
    <t>Is'</t>
  </si>
  <si>
    <t>D1</t>
  </si>
  <si>
    <t>D2</t>
  </si>
  <si>
    <t>Ip(rms)</t>
  </si>
  <si>
    <t>id0</t>
  </si>
  <si>
    <t>Is0</t>
    <phoneticPr fontId="9"/>
  </si>
  <si>
    <t>idP</t>
  </si>
  <si>
    <t>Isp</t>
    <phoneticPr fontId="9"/>
  </si>
  <si>
    <t>D2'</t>
    <phoneticPr fontId="9"/>
  </si>
  <si>
    <t>Iprms</t>
    <phoneticPr fontId="9"/>
  </si>
  <si>
    <t>VR</t>
    <phoneticPr fontId="9"/>
  </si>
  <si>
    <t>Pin(W)</t>
    <phoneticPr fontId="1"/>
  </si>
  <si>
    <t>動作状態チェック
(任意のポイント)</t>
    <rPh sb="0" eb="2">
      <t>ドウサ</t>
    </rPh>
    <rPh sb="2" eb="4">
      <t>ジョウタイ</t>
    </rPh>
    <rPh sb="10" eb="12">
      <t>ニンイ</t>
    </rPh>
    <phoneticPr fontId="1"/>
  </si>
  <si>
    <t xml:space="preserve">                    概数値</t>
    <rPh sb="20" eb="22">
      <t>ガイスウ</t>
    </rPh>
    <rPh sb="22" eb="23">
      <t>チ</t>
    </rPh>
    <phoneticPr fontId="1"/>
  </si>
  <si>
    <t xml:space="preserve">                    整数に切上げ</t>
    <rPh sb="20" eb="22">
      <t>セイスウ</t>
    </rPh>
    <rPh sb="23" eb="25">
      <t>キリア</t>
    </rPh>
    <phoneticPr fontId="1"/>
  </si>
  <si>
    <t>連続モード動作条件</t>
    <rPh sb="0" eb="2">
      <t>レンゾク</t>
    </rPh>
    <rPh sb="5" eb="7">
      <t>ドウサ</t>
    </rPh>
    <rPh sb="7" eb="9">
      <t>ジョウケン</t>
    </rPh>
    <phoneticPr fontId="1"/>
  </si>
  <si>
    <t>k</t>
    <phoneticPr fontId="1"/>
  </si>
  <si>
    <r>
      <t>Duty,Lp</t>
    </r>
    <r>
      <rPr>
        <sz val="11"/>
        <color theme="1"/>
        <rFont val="ＭＳ Ｐゴシック"/>
        <family val="3"/>
        <charset val="128"/>
      </rPr>
      <t>計算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連続モード</t>
    </r>
    <r>
      <rPr>
        <sz val="11"/>
        <color theme="1"/>
        <rFont val="Arial"/>
        <family val="2"/>
      </rPr>
      <t>)</t>
    </r>
    <rPh sb="7" eb="9">
      <t>ケイサン</t>
    </rPh>
    <rPh sb="10" eb="12">
      <t>レンゾク</t>
    </rPh>
    <phoneticPr fontId="1"/>
  </si>
  <si>
    <t>Vin(cc)</t>
    <phoneticPr fontId="1"/>
  </si>
  <si>
    <t>Vindc(cc)</t>
    <phoneticPr fontId="1"/>
  </si>
  <si>
    <t>Po(cc)</t>
    <phoneticPr fontId="1"/>
  </si>
  <si>
    <t>Pin(cc)</t>
    <phoneticPr fontId="1"/>
  </si>
  <si>
    <t>D(cc)</t>
    <phoneticPr fontId="1"/>
  </si>
  <si>
    <t>Ton(cc)</t>
    <phoneticPr fontId="1"/>
  </si>
  <si>
    <t>連続モード時出力電力</t>
    <rPh sb="0" eb="2">
      <t>レンゾク</t>
    </rPh>
    <rPh sb="5" eb="6">
      <t>ジ</t>
    </rPh>
    <rPh sb="6" eb="8">
      <t>シュツリョク</t>
    </rPh>
    <rPh sb="8" eb="10">
      <t>デンリョク</t>
    </rPh>
    <phoneticPr fontId="1"/>
  </si>
  <si>
    <t>連続モード時入力電力</t>
    <rPh sb="0" eb="2">
      <t>レンゾク</t>
    </rPh>
    <rPh sb="5" eb="6">
      <t>ジ</t>
    </rPh>
    <rPh sb="6" eb="8">
      <t>ニュウリョク</t>
    </rPh>
    <rPh sb="8" eb="10">
      <t>デンリョク</t>
    </rPh>
    <phoneticPr fontId="1"/>
  </si>
  <si>
    <r>
      <t>Δ</t>
    </r>
    <r>
      <rPr>
        <sz val="11"/>
        <color theme="1"/>
        <rFont val="ＭＳ Ｐゴシック"/>
        <family val="2"/>
        <charset val="128"/>
      </rPr>
      <t>Ｉ</t>
    </r>
  </si>
  <si>
    <r>
      <rPr>
        <sz val="11"/>
        <color theme="1"/>
        <rFont val="ＭＳ Ｐゴシック"/>
        <family val="2"/>
        <charset val="128"/>
      </rPr>
      <t>入力パラメータ</t>
    </r>
    <rPh sb="0" eb="2">
      <t>ニュウリョク</t>
    </rPh>
    <phoneticPr fontId="9"/>
  </si>
  <si>
    <t>Ip</t>
    <phoneticPr fontId="1"/>
  </si>
  <si>
    <r>
      <rPr>
        <sz val="11"/>
        <color theme="1"/>
        <rFont val="ＭＳ Ｐゴシック"/>
        <family val="2"/>
        <charset val="128"/>
      </rPr>
      <t>連続判定</t>
    </r>
  </si>
  <si>
    <r>
      <t>(1</t>
    </r>
    <r>
      <rPr>
        <sz val="11"/>
        <color theme="1"/>
        <rFont val="ＭＳ Ｐゴシック"/>
        <family val="2"/>
        <charset val="128"/>
      </rPr>
      <t>：連続、</t>
    </r>
    <r>
      <rPr>
        <sz val="11"/>
        <color theme="1"/>
        <rFont val="Arial"/>
        <family val="2"/>
      </rPr>
      <t>0</t>
    </r>
    <r>
      <rPr>
        <sz val="11"/>
        <color theme="1"/>
        <rFont val="ＭＳ Ｐゴシック"/>
        <family val="2"/>
        <charset val="128"/>
      </rPr>
      <t>：不連続）</t>
    </r>
  </si>
  <si>
    <r>
      <rPr>
        <sz val="11"/>
        <color theme="1"/>
        <rFont val="ＭＳ Ｐゴシック"/>
        <family val="2"/>
        <charset val="128"/>
      </rPr>
      <t>⊿</t>
    </r>
    <r>
      <rPr>
        <sz val="11"/>
        <color theme="1"/>
        <rFont val="Arial"/>
        <family val="2"/>
      </rPr>
      <t>I</t>
    </r>
    <phoneticPr fontId="9"/>
  </si>
  <si>
    <r>
      <rPr>
        <sz val="11"/>
        <color theme="1"/>
        <rFont val="ＭＳ Ｐゴシック"/>
        <family val="2"/>
        <charset val="128"/>
      </rPr>
      <t>電流計算</t>
    </r>
    <rPh sb="0" eb="2">
      <t>デンリュウ</t>
    </rPh>
    <rPh sb="2" eb="4">
      <t>ケイサン</t>
    </rPh>
    <phoneticPr fontId="9"/>
  </si>
  <si>
    <r>
      <t>2</t>
    </r>
    <r>
      <rPr>
        <sz val="11"/>
        <color theme="1"/>
        <rFont val="ＭＳ Ｐゴシック"/>
        <family val="2"/>
        <charset val="128"/>
      </rPr>
      <t>次</t>
    </r>
    <r>
      <rPr>
        <sz val="11"/>
        <color theme="1"/>
        <rFont val="Arial"/>
        <family val="2"/>
      </rPr>
      <t>D</t>
    </r>
    <rPh sb="1" eb="2">
      <t>ジ</t>
    </rPh>
    <phoneticPr fontId="9"/>
  </si>
  <si>
    <r>
      <rPr>
        <sz val="11"/>
        <color theme="1"/>
        <rFont val="ＭＳ Ｐゴシック"/>
        <family val="2"/>
        <charset val="128"/>
      </rPr>
      <t>⊿</t>
    </r>
    <r>
      <rPr>
        <sz val="11"/>
        <color theme="1"/>
        <rFont val="Arial"/>
        <family val="2"/>
      </rPr>
      <t>I</t>
    </r>
    <phoneticPr fontId="9"/>
  </si>
  <si>
    <t>Ip</t>
    <phoneticPr fontId="1"/>
  </si>
  <si>
    <t>Ip</t>
    <phoneticPr fontId="1"/>
  </si>
  <si>
    <t>連続度</t>
    <rPh sb="0" eb="2">
      <t>レンゾク</t>
    </rPh>
    <rPh sb="2" eb="3">
      <t>ド</t>
    </rPh>
    <phoneticPr fontId="1"/>
  </si>
  <si>
    <r>
      <rPr>
        <sz val="11"/>
        <color theme="1"/>
        <rFont val="ＭＳ Ｐゴシック"/>
        <family val="3"/>
        <charset val="128"/>
      </rPr>
      <t>連続度：</t>
    </r>
    <r>
      <rPr>
        <sz val="11"/>
        <color theme="1"/>
        <rFont val="Arial"/>
        <family val="2"/>
      </rPr>
      <t>Vac(min)</t>
    </r>
    <rPh sb="0" eb="2">
      <t>レンゾク</t>
    </rPh>
    <rPh sb="2" eb="3">
      <t>ド</t>
    </rPh>
    <phoneticPr fontId="1"/>
  </si>
  <si>
    <t>効率考慮</t>
    <rPh sb="0" eb="2">
      <t>コウリツ</t>
    </rPh>
    <rPh sb="2" eb="4">
      <t>コウリョ</t>
    </rPh>
    <phoneticPr fontId="1"/>
  </si>
  <si>
    <t>1次側ピーク電流</t>
    <rPh sb="1" eb="2">
      <t>ジ</t>
    </rPh>
    <rPh sb="2" eb="3">
      <t>ガワ</t>
    </rPh>
    <rPh sb="6" eb="8">
      <t>デンリュウ</t>
    </rPh>
    <phoneticPr fontId="1"/>
  </si>
  <si>
    <t>臨界モード時の動作条件</t>
    <rPh sb="0" eb="2">
      <t>リンカイ</t>
    </rPh>
    <rPh sb="5" eb="6">
      <t>ジ</t>
    </rPh>
    <rPh sb="7" eb="9">
      <t>ドウサ</t>
    </rPh>
    <rPh sb="9" eb="11">
      <t>ジョウケン</t>
    </rPh>
    <phoneticPr fontId="1"/>
  </si>
  <si>
    <r>
      <rPr>
        <sz val="11"/>
        <color theme="1"/>
        <rFont val="ＭＳ Ｐゴシック"/>
        <family val="3"/>
        <charset val="128"/>
      </rPr>
      <t>電流計算</t>
    </r>
    <r>
      <rPr>
        <sz val="11"/>
        <color theme="1"/>
        <rFont val="Arial"/>
        <family val="2"/>
      </rPr>
      <t xml:space="preserve">:Vac(min)
</t>
    </r>
    <r>
      <rPr>
        <sz val="11"/>
        <color theme="1"/>
        <rFont val="ＭＳ Ｐゴシック"/>
        <family val="3"/>
        <charset val="128"/>
      </rPr>
      <t>定格出力時</t>
    </r>
    <rPh sb="0" eb="2">
      <t>デンリュウ</t>
    </rPh>
    <rPh sb="2" eb="4">
      <t>ケイサン</t>
    </rPh>
    <rPh sb="14" eb="16">
      <t>テイカク</t>
    </rPh>
    <rPh sb="16" eb="18">
      <t>シュツリョク</t>
    </rPh>
    <rPh sb="18" eb="19">
      <t>ジ</t>
    </rPh>
    <phoneticPr fontId="1"/>
  </si>
  <si>
    <r>
      <t>Nvcc</t>
    </r>
    <r>
      <rPr>
        <sz val="11"/>
        <color theme="1"/>
        <rFont val="ＭＳ Ｐゴシック"/>
        <family val="3"/>
        <charset val="128"/>
      </rPr>
      <t>決定</t>
    </r>
    <rPh sb="4" eb="6">
      <t>ケッテイ</t>
    </rPh>
    <phoneticPr fontId="1"/>
  </si>
  <si>
    <r>
      <t>Vcc</t>
    </r>
    <r>
      <rPr>
        <sz val="11"/>
        <color theme="1"/>
        <rFont val="ＭＳ Ｐゴシック"/>
        <family val="3"/>
        <charset val="128"/>
      </rPr>
      <t>電圧</t>
    </r>
    <rPh sb="3" eb="5">
      <t>デンアツ</t>
    </rPh>
    <phoneticPr fontId="1"/>
  </si>
  <si>
    <t>Vcc</t>
    <phoneticPr fontId="1"/>
  </si>
  <si>
    <t>Vdc</t>
    <phoneticPr fontId="1"/>
  </si>
  <si>
    <t>Nvcc</t>
    <phoneticPr fontId="1"/>
  </si>
  <si>
    <r>
      <t>VCC</t>
    </r>
    <r>
      <rPr>
        <sz val="11"/>
        <color theme="1"/>
        <rFont val="ＭＳ Ｐゴシック"/>
        <family val="3"/>
        <charset val="128"/>
      </rPr>
      <t>巻線</t>
    </r>
    <rPh sb="3" eb="5">
      <t>マキセン</t>
    </rPh>
    <phoneticPr fontId="1"/>
  </si>
  <si>
    <t>Tn</t>
    <phoneticPr fontId="1"/>
  </si>
  <si>
    <t>Tn</t>
    <phoneticPr fontId="1"/>
  </si>
  <si>
    <t>Ip</t>
    <phoneticPr fontId="1"/>
  </si>
  <si>
    <t>I0</t>
    <phoneticPr fontId="1"/>
  </si>
  <si>
    <t>定格出力電力(最大)</t>
    <rPh sb="0" eb="2">
      <t>テイカク</t>
    </rPh>
    <rPh sb="2" eb="4">
      <t>シュツリョク</t>
    </rPh>
    <rPh sb="4" eb="6">
      <t>デンリョク</t>
    </rPh>
    <rPh sb="7" eb="9">
      <t>サイダイ</t>
    </rPh>
    <phoneticPr fontId="1"/>
  </si>
  <si>
    <t>定格出力電流(最大)</t>
    <rPh sb="0" eb="2">
      <t>テイカク</t>
    </rPh>
    <rPh sb="2" eb="4">
      <t>シュツリョク</t>
    </rPh>
    <rPh sb="4" eb="6">
      <t>デンリュウ</t>
    </rPh>
    <rPh sb="7" eb="9">
      <t>サイダイ</t>
    </rPh>
    <phoneticPr fontId="1"/>
  </si>
  <si>
    <t>2次側ピーク電流</t>
    <rPh sb="1" eb="2">
      <t>ジ</t>
    </rPh>
    <rPh sb="2" eb="3">
      <t>ガワ</t>
    </rPh>
    <rPh sb="6" eb="8">
      <t>デンリュウ</t>
    </rPh>
    <phoneticPr fontId="1"/>
  </si>
  <si>
    <t>Ispeak</t>
    <phoneticPr fontId="1"/>
  </si>
  <si>
    <t>A</t>
    <phoneticPr fontId="1"/>
  </si>
  <si>
    <t>1次側電流</t>
    <rPh sb="1" eb="2">
      <t>ジ</t>
    </rPh>
    <rPh sb="2" eb="3">
      <t>ガワ</t>
    </rPh>
    <rPh sb="3" eb="5">
      <t>デンリュウ</t>
    </rPh>
    <phoneticPr fontId="1"/>
  </si>
  <si>
    <r>
      <t>2</t>
    </r>
    <r>
      <rPr>
        <sz val="11"/>
        <color theme="1"/>
        <rFont val="ＭＳ Ｐゴシック"/>
        <family val="3"/>
        <charset val="128"/>
      </rPr>
      <t>次側電流</t>
    </r>
    <rPh sb="1" eb="2">
      <t>ジ</t>
    </rPh>
    <rPh sb="2" eb="3">
      <t>ガワ</t>
    </rPh>
    <rPh sb="3" eb="5">
      <t>デンリュウ</t>
    </rPh>
    <phoneticPr fontId="1"/>
  </si>
  <si>
    <t>Ispeak</t>
    <phoneticPr fontId="1"/>
  </si>
  <si>
    <t>Ispeak1</t>
    <phoneticPr fontId="1"/>
  </si>
  <si>
    <t>Arms</t>
    <phoneticPr fontId="1"/>
  </si>
  <si>
    <t>A</t>
    <phoneticPr fontId="1"/>
  </si>
  <si>
    <r>
      <t>1</t>
    </r>
    <r>
      <rPr>
        <sz val="11"/>
        <color theme="1"/>
        <rFont val="ＭＳ Ｐゴシック"/>
        <family val="3"/>
        <charset val="128"/>
      </rPr>
      <t>次側ピーク電流</t>
    </r>
    <rPh sb="1" eb="2">
      <t>ジ</t>
    </rPh>
    <rPh sb="2" eb="3">
      <t>ガワ</t>
    </rPh>
    <rPh sb="6" eb="8">
      <t>デンリュウ</t>
    </rPh>
    <phoneticPr fontId="1"/>
  </si>
  <si>
    <r>
      <t>2</t>
    </r>
    <r>
      <rPr>
        <sz val="11"/>
        <color theme="1"/>
        <rFont val="ＭＳ Ｐゴシック"/>
        <family val="3"/>
        <charset val="128"/>
      </rPr>
      <t>次側ピーク電流</t>
    </r>
    <rPh sb="1" eb="2">
      <t>ジ</t>
    </rPh>
    <rPh sb="2" eb="3">
      <t>ガワ</t>
    </rPh>
    <rPh sb="6" eb="8">
      <t>デンリュウ</t>
    </rPh>
    <phoneticPr fontId="1"/>
  </si>
  <si>
    <r>
      <t>1</t>
    </r>
    <r>
      <rPr>
        <sz val="11"/>
        <color theme="1"/>
        <rFont val="ＭＳ Ｐゴシック"/>
        <family val="3"/>
        <charset val="128"/>
      </rPr>
      <t>次側電流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実効値</t>
    </r>
    <r>
      <rPr>
        <sz val="11"/>
        <color theme="1"/>
        <rFont val="Arial"/>
        <family val="2"/>
      </rPr>
      <t>)</t>
    </r>
    <rPh sb="1" eb="2">
      <t>ジ</t>
    </rPh>
    <rPh sb="2" eb="3">
      <t>ガワ</t>
    </rPh>
    <rPh sb="3" eb="5">
      <t>デンリュウ</t>
    </rPh>
    <rPh sb="6" eb="9">
      <t>ジッコウチ</t>
    </rPh>
    <phoneticPr fontId="1"/>
  </si>
  <si>
    <r>
      <t>2</t>
    </r>
    <r>
      <rPr>
        <sz val="11"/>
        <color theme="1"/>
        <rFont val="ＭＳ Ｐゴシック"/>
        <family val="3"/>
        <charset val="128"/>
      </rPr>
      <t>次側電流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実効値</t>
    </r>
    <r>
      <rPr>
        <sz val="11"/>
        <color theme="1"/>
        <rFont val="Arial"/>
        <family val="2"/>
      </rPr>
      <t>)</t>
    </r>
    <rPh sb="1" eb="2">
      <t>ジ</t>
    </rPh>
    <rPh sb="2" eb="3">
      <t>ガワ</t>
    </rPh>
    <rPh sb="3" eb="5">
      <t>デンリュウ</t>
    </rPh>
    <rPh sb="6" eb="9">
      <t>ジッコウチ</t>
    </rPh>
    <phoneticPr fontId="1"/>
  </si>
  <si>
    <r>
      <rPr>
        <sz val="11"/>
        <color theme="1"/>
        <rFont val="ＭＳ Ｐゴシック"/>
        <family val="3"/>
        <charset val="128"/>
      </rPr>
      <t>変換効率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推定</t>
    </r>
    <r>
      <rPr>
        <sz val="11"/>
        <color theme="1"/>
        <rFont val="Arial"/>
        <family val="2"/>
      </rPr>
      <t>)</t>
    </r>
    <rPh sb="0" eb="2">
      <t>ヘンカン</t>
    </rPh>
    <rPh sb="2" eb="4">
      <t>コウリツ</t>
    </rPh>
    <rPh sb="5" eb="7">
      <t>スイテイ</t>
    </rPh>
    <phoneticPr fontId="1"/>
  </si>
  <si>
    <t>巻数比</t>
    <rPh sb="0" eb="1">
      <t>マ</t>
    </rPh>
    <rPh sb="1" eb="2">
      <t>スウ</t>
    </rPh>
    <rPh sb="2" eb="3">
      <t>ヒ</t>
    </rPh>
    <phoneticPr fontId="1"/>
  </si>
  <si>
    <t>n</t>
    <phoneticPr fontId="1"/>
  </si>
  <si>
    <t>磁束密度</t>
    <rPh sb="0" eb="2">
      <t>ジソク</t>
    </rPh>
    <rPh sb="2" eb="4">
      <t>ミツド</t>
    </rPh>
    <phoneticPr fontId="1"/>
  </si>
  <si>
    <t>B</t>
    <phoneticPr fontId="1"/>
  </si>
  <si>
    <t>T</t>
    <phoneticPr fontId="1"/>
  </si>
  <si>
    <t>磁束密度</t>
    <rPh sb="0" eb="2">
      <t>ジソク</t>
    </rPh>
    <rPh sb="2" eb="4">
      <t>ミツド</t>
    </rPh>
    <phoneticPr fontId="1"/>
  </si>
  <si>
    <t>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</si>
</sst>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"/>
    <numFmt numFmtId="177" formatCode="0.000"/>
    <numFmt numFmtId="178" formatCode="0.0"/>
    <numFmt numFmtId="179" formatCode="0.00000000000_ "/>
    <numFmt numFmtId="180" formatCode="0.000000000000_ "/>
    <numFmt numFmtId="181" formatCode="0.0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8"/>
      <color theme="1"/>
      <name val="Arial"/>
      <family val="2"/>
    </font>
    <font>
      <vertAlign val="superscript"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8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auto="1"/>
      </right>
      <top style="medium">
        <color indexed="64"/>
      </top>
      <bottom style="double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dotted">
        <color auto="1"/>
      </top>
      <bottom style="hair">
        <color indexed="64"/>
      </bottom>
      <diagonal/>
    </border>
    <border>
      <left/>
      <right style="hair">
        <color indexed="64"/>
      </right>
      <top style="dotted">
        <color auto="1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double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10" fillId="0" borderId="0" xfId="0" applyFont="1" applyAlignment="1"/>
    <xf numFmtId="0" fontId="10" fillId="0" borderId="66" xfId="0" applyFont="1" applyBorder="1" applyAlignment="1"/>
    <xf numFmtId="0" fontId="0" fillId="0" borderId="66" xfId="0" applyBorder="1" applyAlignment="1"/>
    <xf numFmtId="0" fontId="0" fillId="0" borderId="0" xfId="0" applyAlignment="1"/>
    <xf numFmtId="2" fontId="10" fillId="0" borderId="66" xfId="0" applyNumberFormat="1" applyFont="1" applyBorder="1" applyAlignment="1"/>
    <xf numFmtId="0" fontId="10" fillId="0" borderId="0" xfId="0" applyFont="1" applyBorder="1" applyAlignment="1"/>
    <xf numFmtId="0" fontId="10" fillId="0" borderId="66" xfId="0" applyFont="1" applyFill="1" applyBorder="1" applyAlignment="1"/>
    <xf numFmtId="0" fontId="10" fillId="0" borderId="0" xfId="0" applyFont="1" applyFill="1" applyAlignment="1"/>
    <xf numFmtId="2" fontId="10" fillId="0" borderId="66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66" xfId="0" applyFont="1" applyBorder="1" applyAlignment="1"/>
    <xf numFmtId="0" fontId="3" fillId="5" borderId="0" xfId="0" applyFont="1" applyFill="1" applyAlignment="1"/>
    <xf numFmtId="2" fontId="3" fillId="0" borderId="0" xfId="0" applyNumberFormat="1" applyFont="1" applyAlignment="1"/>
    <xf numFmtId="181" fontId="3" fillId="0" borderId="0" xfId="0" applyNumberFormat="1" applyFont="1" applyAlignment="1"/>
    <xf numFmtId="0" fontId="3" fillId="0" borderId="35" xfId="0" applyFont="1" applyBorder="1" applyAlignment="1"/>
    <xf numFmtId="0" fontId="3" fillId="0" borderId="67" xfId="0" applyFont="1" applyBorder="1" applyAlignment="1"/>
    <xf numFmtId="0" fontId="3" fillId="0" borderId="40" xfId="0" applyFont="1" applyBorder="1" applyAlignment="1"/>
    <xf numFmtId="181" fontId="10" fillId="0" borderId="66" xfId="0" applyNumberFormat="1" applyFont="1" applyBorder="1" applyAlignment="1"/>
    <xf numFmtId="2" fontId="3" fillId="0" borderId="66" xfId="0" applyNumberFormat="1" applyFont="1" applyBorder="1" applyAlignment="1"/>
    <xf numFmtId="0" fontId="11" fillId="0" borderId="0" xfId="0" applyFont="1" applyFill="1" applyAlignment="1"/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vertical="center"/>
      <protection locked="0"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vertical="center"/>
      <protection locked="0" hidden="1"/>
    </xf>
    <xf numFmtId="0" fontId="3" fillId="0" borderId="3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vertical="center"/>
      <protection locked="0"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vertical="center"/>
      <protection locked="0" hidden="1"/>
    </xf>
    <xf numFmtId="0" fontId="3" fillId="0" borderId="2" xfId="0" applyFont="1" applyBorder="1" applyAlignment="1" applyProtection="1">
      <alignment vertical="center"/>
      <protection hidden="1"/>
    </xf>
    <xf numFmtId="0" fontId="3" fillId="2" borderId="58" xfId="0" applyFont="1" applyFill="1" applyBorder="1" applyAlignment="1" applyProtection="1">
      <alignment vertical="center"/>
      <protection locked="0" hidden="1"/>
    </xf>
    <xf numFmtId="0" fontId="3" fillId="0" borderId="5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3" fillId="3" borderId="26" xfId="0" applyFont="1" applyFill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8" fontId="3" fillId="3" borderId="26" xfId="0" applyNumberFormat="1" applyFont="1" applyFill="1" applyBorder="1" applyAlignment="1" applyProtection="1">
      <alignment vertical="center"/>
      <protection hidden="1"/>
    </xf>
    <xf numFmtId="2" fontId="3" fillId="3" borderId="26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vertical="center"/>
      <protection locked="0"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178" fontId="3" fillId="3" borderId="27" xfId="0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2" fontId="3" fillId="3" borderId="36" xfId="0" applyNumberFormat="1" applyFont="1" applyFill="1" applyBorder="1" applyAlignment="1" applyProtection="1">
      <alignment vertical="center"/>
      <protection hidden="1"/>
    </xf>
    <xf numFmtId="1" fontId="3" fillId="2" borderId="56" xfId="0" applyNumberFormat="1" applyFont="1" applyFill="1" applyBorder="1" applyAlignment="1" applyProtection="1">
      <alignment vertical="center"/>
      <protection locked="0" hidden="1"/>
    </xf>
    <xf numFmtId="178" fontId="3" fillId="3" borderId="13" xfId="0" applyNumberFormat="1" applyFont="1" applyFill="1" applyBorder="1" applyAlignment="1" applyProtection="1">
      <alignment vertical="center"/>
      <protection hidden="1"/>
    </xf>
    <xf numFmtId="2" fontId="3" fillId="2" borderId="13" xfId="0" applyNumberFormat="1" applyFont="1" applyFill="1" applyBorder="1" applyAlignment="1" applyProtection="1">
      <alignment vertical="center"/>
      <protection locked="0" hidden="1"/>
    </xf>
    <xf numFmtId="2" fontId="3" fillId="3" borderId="13" xfId="0" applyNumberFormat="1" applyFont="1" applyFill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2" fontId="3" fillId="3" borderId="15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77" fontId="3" fillId="3" borderId="28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hidden="1"/>
    </xf>
    <xf numFmtId="177" fontId="3" fillId="3" borderId="56" xfId="0" applyNumberFormat="1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177" fontId="3" fillId="3" borderId="13" xfId="0" applyNumberFormat="1" applyFont="1" applyFill="1" applyBorder="1" applyAlignment="1" applyProtection="1">
      <alignment vertical="center"/>
      <protection hidden="1"/>
    </xf>
    <xf numFmtId="177" fontId="3" fillId="3" borderId="15" xfId="0" applyNumberFormat="1" applyFont="1" applyFill="1" applyBorder="1" applyAlignment="1" applyProtection="1">
      <alignment vertical="center"/>
      <protection hidden="1"/>
    </xf>
    <xf numFmtId="177" fontId="3" fillId="3" borderId="36" xfId="0" applyNumberFormat="1" applyFont="1" applyFill="1" applyBorder="1" applyAlignment="1" applyProtection="1">
      <alignment vertical="center"/>
      <protection hidden="1"/>
    </xf>
    <xf numFmtId="2" fontId="3" fillId="3" borderId="28" xfId="0" applyNumberFormat="1" applyFont="1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vertical="center"/>
      <protection locked="0" hidden="1"/>
    </xf>
    <xf numFmtId="178" fontId="3" fillId="3" borderId="28" xfId="0" applyNumberFormat="1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locked="0" hidden="1"/>
    </xf>
    <xf numFmtId="0" fontId="4" fillId="0" borderId="16" xfId="0" applyFont="1" applyBorder="1" applyAlignment="1" applyProtection="1">
      <alignment horizontal="left" vertical="center"/>
      <protection hidden="1"/>
    </xf>
    <xf numFmtId="2" fontId="3" fillId="3" borderId="27" xfId="0" applyNumberFormat="1" applyFont="1" applyFill="1" applyBorder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vertical="center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176" fontId="3" fillId="3" borderId="56" xfId="0" applyNumberFormat="1" applyFont="1" applyFill="1" applyBorder="1" applyAlignment="1" applyProtection="1">
      <alignment vertical="center"/>
      <protection hidden="1"/>
    </xf>
    <xf numFmtId="176" fontId="3" fillId="3" borderId="28" xfId="0" applyNumberFormat="1" applyFont="1" applyFill="1" applyBorder="1" applyAlignment="1" applyProtection="1">
      <alignment vertical="center"/>
      <protection hidden="1"/>
    </xf>
    <xf numFmtId="176" fontId="3" fillId="3" borderId="26" xfId="0" applyNumberFormat="1" applyFont="1" applyFill="1" applyBorder="1" applyAlignment="1" applyProtection="1">
      <alignment vertical="center"/>
      <protection hidden="1"/>
    </xf>
    <xf numFmtId="177" fontId="3" fillId="3" borderId="26" xfId="0" applyNumberFormat="1" applyFont="1" applyFill="1" applyBorder="1" applyAlignment="1" applyProtection="1">
      <alignment vertical="center"/>
      <protection hidden="1"/>
    </xf>
    <xf numFmtId="177" fontId="3" fillId="3" borderId="27" xfId="0" applyNumberFormat="1" applyFont="1" applyFill="1" applyBorder="1" applyAlignment="1" applyProtection="1">
      <alignment vertical="center"/>
      <protection hidden="1"/>
    </xf>
    <xf numFmtId="178" fontId="3" fillId="2" borderId="28" xfId="0" applyNumberFormat="1" applyFont="1" applyFill="1" applyBorder="1" applyAlignment="1" applyProtection="1">
      <alignment vertical="center"/>
      <protection locked="0" hidden="1"/>
    </xf>
    <xf numFmtId="177" fontId="3" fillId="2" borderId="26" xfId="0" applyNumberFormat="1" applyFont="1" applyFill="1" applyBorder="1" applyAlignment="1" applyProtection="1">
      <alignment vertical="center"/>
      <protection locked="0" hidden="1"/>
    </xf>
    <xf numFmtId="177" fontId="3" fillId="0" borderId="0" xfId="0" applyNumberFormat="1" applyFont="1" applyAlignment="1" applyProtection="1">
      <alignment vertical="center"/>
      <protection hidden="1"/>
    </xf>
    <xf numFmtId="176" fontId="3" fillId="0" borderId="0" xfId="0" applyNumberFormat="1" applyFont="1" applyAlignment="1" applyProtection="1">
      <alignment horizontal="center" vertical="center"/>
      <protection hidden="1"/>
    </xf>
    <xf numFmtId="179" fontId="3" fillId="0" borderId="0" xfId="0" applyNumberFormat="1" applyFont="1" applyAlignment="1" applyProtection="1">
      <alignment vertical="center"/>
      <protection hidden="1"/>
    </xf>
    <xf numFmtId="179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178" fontId="3" fillId="0" borderId="0" xfId="0" applyNumberFormat="1" applyFont="1" applyAlignment="1" applyProtection="1">
      <alignment horizontal="center" vertical="center"/>
      <protection hidden="1"/>
    </xf>
    <xf numFmtId="2" fontId="10" fillId="3" borderId="27" xfId="0" applyNumberFormat="1" applyFont="1" applyFill="1" applyBorder="1" applyAlignment="1" applyProtection="1">
      <alignment vertical="center"/>
      <protection hidden="1"/>
    </xf>
    <xf numFmtId="178" fontId="3" fillId="2" borderId="56" xfId="0" applyNumberFormat="1" applyFont="1" applyFill="1" applyBorder="1" applyAlignment="1" applyProtection="1">
      <alignment vertical="center"/>
      <protection locked="0" hidden="1"/>
    </xf>
    <xf numFmtId="177" fontId="3" fillId="2" borderId="13" xfId="0" applyNumberFormat="1" applyFont="1" applyFill="1" applyBorder="1" applyAlignment="1" applyProtection="1">
      <alignment vertical="center"/>
      <protection locked="0" hidden="1"/>
    </xf>
    <xf numFmtId="0" fontId="3" fillId="3" borderId="13" xfId="0" applyFont="1" applyFill="1" applyBorder="1" applyAlignment="1" applyProtection="1">
      <alignment vertical="center"/>
      <protection hidden="1"/>
    </xf>
    <xf numFmtId="176" fontId="3" fillId="3" borderId="13" xfId="0" applyNumberFormat="1" applyFont="1" applyFill="1" applyBorder="1" applyAlignment="1" applyProtection="1">
      <alignment vertical="center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8" fillId="4" borderId="40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left" vertical="center"/>
      <protection hidden="1"/>
    </xf>
    <xf numFmtId="0" fontId="3" fillId="0" borderId="48" xfId="0" applyFont="1" applyBorder="1" applyAlignment="1" applyProtection="1">
      <alignment horizontal="left" vertical="center"/>
      <protection hidden="1"/>
    </xf>
    <xf numFmtId="0" fontId="3" fillId="0" borderId="42" xfId="0" applyFont="1" applyBorder="1" applyAlignment="1" applyProtection="1">
      <alignment horizontal="left" vertical="center"/>
      <protection hidden="1"/>
    </xf>
    <xf numFmtId="0" fontId="4" fillId="0" borderId="50" xfId="0" applyFont="1" applyFill="1" applyBorder="1" applyAlignment="1" applyProtection="1">
      <alignment horizontal="left" vertical="center"/>
      <protection hidden="1"/>
    </xf>
    <xf numFmtId="0" fontId="3" fillId="0" borderId="51" xfId="0" applyFont="1" applyFill="1" applyBorder="1" applyAlignment="1" applyProtection="1">
      <alignment horizontal="left" vertical="center"/>
      <protection hidden="1"/>
    </xf>
    <xf numFmtId="0" fontId="4" fillId="0" borderId="52" xfId="0" applyFont="1" applyFill="1" applyBorder="1" applyAlignment="1" applyProtection="1">
      <alignment horizontal="left" vertical="center"/>
      <protection hidden="1"/>
    </xf>
    <xf numFmtId="0" fontId="3" fillId="0" borderId="53" xfId="0" applyFont="1" applyFill="1" applyBorder="1" applyAlignment="1" applyProtection="1">
      <alignment horizontal="left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4" fillId="0" borderId="56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8" fillId="3" borderId="35" xfId="0" applyFont="1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64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2"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'パラメータ入力(臨界動作状態チェック)'!$D$72</c:f>
              <c:strCache>
                <c:ptCount val="1"/>
                <c:pt idx="0">
                  <c:v>Id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0.43736458221691626</c:v>
                </c:pt>
                <c:pt idx="3">
                  <c:v>0.43736458221691626</c:v>
                </c:pt>
                <c:pt idx="4">
                  <c:v>0.43736458221691626</c:v>
                </c:pt>
                <c:pt idx="5">
                  <c:v>0.99711745449999833</c:v>
                </c:pt>
                <c:pt idx="6">
                  <c:v>0.99711745449999833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'パラメータ入力(臨界動作状態チェック)'!$D$73:$D$81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2.3209265436127793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502112"/>
        <c:axId val="408502896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'パラメータ入力(臨界動作状態チェック)'!$C$72</c:f>
              <c:strCache>
                <c:ptCount val="1"/>
                <c:pt idx="0">
                  <c:v>Vds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0.43736458221691626</c:v>
                </c:pt>
                <c:pt idx="3">
                  <c:v>0.43736458221691626</c:v>
                </c:pt>
                <c:pt idx="4">
                  <c:v>0.43736458221691626</c:v>
                </c:pt>
                <c:pt idx="5">
                  <c:v>0.99711745449999833</c:v>
                </c:pt>
                <c:pt idx="6">
                  <c:v>0.99711745449999833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'パラメータ入力(臨界動作状態チェック)'!$C$73:$C$81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281.92135623730951</c:v>
                </c:pt>
                <c:pt idx="4">
                  <c:v>251.92135623730951</c:v>
                </c:pt>
                <c:pt idx="5">
                  <c:v>251.92135623730951</c:v>
                </c:pt>
                <c:pt idx="6">
                  <c:v>141.42135623730951</c:v>
                </c:pt>
                <c:pt idx="7">
                  <c:v>141.42135623730951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508384"/>
        <c:axId val="408503680"/>
      </c:scatterChart>
      <c:valAx>
        <c:axId val="40850211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8502896"/>
        <c:crosses val="autoZero"/>
        <c:crossBetween val="midCat"/>
        <c:majorUnit val="0.1"/>
        <c:minorUnit val="0.05"/>
      </c:valAx>
      <c:valAx>
        <c:axId val="4085028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8502112"/>
        <c:crosses val="autoZero"/>
        <c:crossBetween val="midCat"/>
      </c:valAx>
      <c:valAx>
        <c:axId val="40850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503680"/>
        <c:crosses val="autoZero"/>
        <c:crossBetween val="midCat"/>
      </c:valAx>
      <c:valAx>
        <c:axId val="4085036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8508384"/>
        <c:crosses val="max"/>
        <c:crossBetween val="midCat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005905511811"/>
          <c:y val="1.3367013333859572E-2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動作状態（連続モード）</a:t>
            </a:r>
          </a:p>
        </c:rich>
      </c:tx>
      <c:layout>
        <c:manualLayout>
          <c:xMode val="edge"/>
          <c:yMode val="edge"/>
          <c:x val="0.37241410662556118"/>
          <c:y val="3.2178217821782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1881188118811881"/>
          <c:w val="0.85862141249782165"/>
          <c:h val="0.801693591118011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'パラメータ入力(臨界動作状態チェック)'!$C$35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'パラメータ入力(臨界動作状態チェック)'!$B$36:$B$40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0.43862895012326453</c:v>
                </c:pt>
                <c:pt idx="3">
                  <c:v>0.43862895012326453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'パラメータ入力(臨界動作状態チェック)'!$C$36:$C$40</c:f>
              <c:numCache>
                <c:formatCode>General</c:formatCode>
                <c:ptCount val="5"/>
                <c:pt idx="0">
                  <c:v>0</c:v>
                </c:pt>
                <c:pt idx="1">
                  <c:v>-6.6998466079291052E-3</c:v>
                </c:pt>
                <c:pt idx="2">
                  <c:v>2.3209362138565837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'パラメータ入力(臨界動作状態チェック)'!$D$35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'パラメータ入力(臨界動作状態チェック)'!$B$36:$B$40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0.43862895012326453</c:v>
                </c:pt>
                <c:pt idx="3">
                  <c:v>0.43862895012326453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'パラメータ入力(臨界動作状態チェック)'!$D$36:$D$40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2.3209362138565837</c:v>
                </c:pt>
                <c:pt idx="4">
                  <c:v>-6.6998466079291052E-3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85512"/>
        <c:axId val="422292568"/>
      </c:scatterChart>
      <c:valAx>
        <c:axId val="422285512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50862111784509512"/>
              <c:y val="0.935643564356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92568"/>
        <c:crosses val="autoZero"/>
        <c:crossBetween val="midCat"/>
      </c:valAx>
      <c:valAx>
        <c:axId val="422292568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8.6206969126287319E-3"/>
              <c:y val="0.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55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動作状態（不連続モード）</a:t>
            </a:r>
          </a:p>
        </c:rich>
      </c:tx>
      <c:layout>
        <c:manualLayout>
          <c:xMode val="edge"/>
          <c:yMode val="edge"/>
          <c:x val="0.35110325631826633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794980033405E-2"/>
          <c:y val="0.12303680648315619"/>
          <c:w val="0.76103009484692274"/>
          <c:h val="0.76178107843826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'パラメータ入力(臨界動作状態チェック)'!$M$35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'パラメータ入力(臨界動作状態チェック)'!$L$36:$L$40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0.43736458221691626</c:v>
                </c:pt>
                <c:pt idx="2">
                  <c:v>0.43736458221691626</c:v>
                </c:pt>
                <c:pt idx="3">
                  <c:v>0.99711745449999833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'パラメータ入力(臨界動作状態チェック)'!$M$36:$M$40</c:f>
              <c:numCache>
                <c:formatCode>General</c:formatCode>
                <c:ptCount val="5"/>
                <c:pt idx="0">
                  <c:v>0</c:v>
                </c:pt>
                <c:pt idx="1">
                  <c:v>2.3209265436127793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'パラメータ入力(臨界動作状態チェック)'!$N$35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'パラメータ入力(臨界動作状態チェック)'!$L$36:$L$40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0.43736458221691626</c:v>
                </c:pt>
                <c:pt idx="2">
                  <c:v>0.43736458221691626</c:v>
                </c:pt>
                <c:pt idx="3">
                  <c:v>0.99711745449999833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'パラメータ入力(臨界動作状態チェック)'!$N$36:$N$40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2.3209265436127793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89040"/>
        <c:axId val="422291784"/>
      </c:scatterChart>
      <c:valAx>
        <c:axId val="422289040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46691218379497196"/>
              <c:y val="0.93193836400007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91784"/>
        <c:crosses val="autoZero"/>
        <c:crossBetween val="midCat"/>
      </c:valAx>
      <c:valAx>
        <c:axId val="422291784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9.1911847203734638E-3"/>
              <c:y val="0.46858698639329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90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'パラメータ入力(臨界定格出力)'!$D$72</c:f>
              <c:strCache>
                <c:ptCount val="1"/>
                <c:pt idx="0">
                  <c:v>Id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'パラメータ入力(臨界定格出力)'!$B$73:$B$81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0.57153336087245865</c:v>
                </c:pt>
                <c:pt idx="3">
                  <c:v>0.57153336087245865</c:v>
                </c:pt>
                <c:pt idx="4">
                  <c:v>0.57153336087245865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'パラメータ入力(臨界定格出力)'!$D$73:$D$81</c:f>
              <c:numCache>
                <c:formatCode>General</c:formatCode>
                <c:ptCount val="9"/>
                <c:pt idx="0">
                  <c:v>0</c:v>
                </c:pt>
                <c:pt idx="1">
                  <c:v>0.62775570493955823</c:v>
                </c:pt>
                <c:pt idx="2">
                  <c:v>2.4043246964439979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90608"/>
        <c:axId val="422291392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'パラメータ入力(臨界定格出力)'!$C$72</c:f>
              <c:strCache>
                <c:ptCount val="1"/>
                <c:pt idx="0">
                  <c:v>Vds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'パラメータ入力(臨界定格出力)'!$B$73:$B$81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0.57153336087245865</c:v>
                </c:pt>
                <c:pt idx="3">
                  <c:v>0.57153336087245865</c:v>
                </c:pt>
                <c:pt idx="4">
                  <c:v>0.57153336087245865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'パラメータ入力(臨界定格出力)'!$C$73:$C$81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223.33954509902838</c:v>
                </c:pt>
                <c:pt idx="4">
                  <c:v>193.33954509902838</c:v>
                </c:pt>
                <c:pt idx="5">
                  <c:v>193.33954509902838</c:v>
                </c:pt>
                <c:pt idx="6" formatCode="0.00">
                  <c:v>82.839545099028413</c:v>
                </c:pt>
                <c:pt idx="7" formatCode="0.00">
                  <c:v>82.839545099028413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88648"/>
        <c:axId val="422292176"/>
      </c:scatterChart>
      <c:valAx>
        <c:axId val="42229060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91392"/>
        <c:crosses val="autoZero"/>
        <c:crossBetween val="midCat"/>
        <c:majorUnit val="0.1"/>
        <c:minorUnit val="0.05"/>
      </c:valAx>
      <c:valAx>
        <c:axId val="42229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90608"/>
        <c:crosses val="autoZero"/>
        <c:crossBetween val="midCat"/>
      </c:valAx>
      <c:valAx>
        <c:axId val="422288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292176"/>
        <c:crosses val="autoZero"/>
        <c:crossBetween val="midCat"/>
      </c:valAx>
      <c:valAx>
        <c:axId val="4222921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88648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32070129513428"/>
          <c:y val="0.13032613351281894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動作状態（連続モード）</a:t>
            </a:r>
          </a:p>
        </c:rich>
      </c:tx>
      <c:layout>
        <c:manualLayout>
          <c:xMode val="edge"/>
          <c:yMode val="edge"/>
          <c:x val="0.37241410662556118"/>
          <c:y val="3.2178217821782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1881188118811881"/>
          <c:w val="0.85862141249782165"/>
          <c:h val="0.763075931298061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'パラメータ入力(臨界定格出力)'!$C$35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'パラメータ入力(臨界定格出力)'!$B$36:$B$40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0.57153336087245865</c:v>
                </c:pt>
                <c:pt idx="3">
                  <c:v>0.57153336087245865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'パラメータ入力(臨界定格出力)'!$C$36:$C$40</c:f>
              <c:numCache>
                <c:formatCode>General</c:formatCode>
                <c:ptCount val="5"/>
                <c:pt idx="0">
                  <c:v>0</c:v>
                </c:pt>
                <c:pt idx="1">
                  <c:v>0.62775570493955823</c:v>
                </c:pt>
                <c:pt idx="2">
                  <c:v>2.4043246964439979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'パラメータ入力(臨界定格出力)'!$D$35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'パラメータ入力(臨界定格出力)'!$B$36:$B$40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0.57153336087245865</c:v>
                </c:pt>
                <c:pt idx="3">
                  <c:v>0.57153336087245865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'パラメータ入力(臨界定格出力)'!$D$36:$D$40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2.4043246964439979</c:v>
                </c:pt>
                <c:pt idx="4">
                  <c:v>0.62775570493955823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87864"/>
        <c:axId val="422286296"/>
      </c:scatterChart>
      <c:valAx>
        <c:axId val="422287864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50862111784509512"/>
              <c:y val="0.935643564356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6296"/>
        <c:crosses val="autoZero"/>
        <c:crossBetween val="midCat"/>
      </c:valAx>
      <c:valAx>
        <c:axId val="422286296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8.6206969126287319E-3"/>
              <c:y val="0.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78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動作状態（不連続モード）</a:t>
            </a:r>
          </a:p>
        </c:rich>
      </c:tx>
      <c:layout>
        <c:manualLayout>
          <c:xMode val="edge"/>
          <c:yMode val="edge"/>
          <c:x val="0.35110325631826633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794980033405E-2"/>
          <c:y val="0.12303680648315619"/>
          <c:w val="0.76103009484692274"/>
          <c:h val="0.76178107843826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'パラメータ入力(臨界定格出力)'!$M$35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'パラメータ入力(臨界定格出力)'!$L$36:$L$40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0.74665659152691322</c:v>
                </c:pt>
                <c:pt idx="2">
                  <c:v>0.74665659152691322</c:v>
                </c:pt>
                <c:pt idx="3">
                  <c:v>1.3064094638099952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'パラメータ入力(臨界定格出力)'!$M$36:$M$40</c:f>
              <c:numCache>
                <c:formatCode>General</c:formatCode>
                <c:ptCount val="5"/>
                <c:pt idx="0">
                  <c:v>0</c:v>
                </c:pt>
                <c:pt idx="1">
                  <c:v>2.3209265436127793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'パラメータ入力(臨界定格出力)'!$N$35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'パラメータ入力(臨界定格出力)'!$L$36:$L$40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0.74665659152691322</c:v>
                </c:pt>
                <c:pt idx="2">
                  <c:v>0.74665659152691322</c:v>
                </c:pt>
                <c:pt idx="3">
                  <c:v>1.3064094638099952</c:v>
                </c:pt>
                <c:pt idx="4">
                  <c:v>1</c:v>
                </c:pt>
              </c:numCache>
            </c:numRef>
          </c:xVal>
          <c:yVal>
            <c:numRef>
              <c:f>'パラメータ入力(臨界定格出力)'!$N$36:$N$40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2.3209265436127793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85904"/>
        <c:axId val="422287080"/>
      </c:scatterChart>
      <c:valAx>
        <c:axId val="422285904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46691218379497196"/>
              <c:y val="0.93193836400007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7080"/>
        <c:crosses val="autoZero"/>
        <c:crossBetween val="midCat"/>
      </c:valAx>
      <c:valAx>
        <c:axId val="422287080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9.1911847203734638E-3"/>
              <c:y val="0.46858698639329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59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'パラメータ入力(連続動作状態チェック)'!$D$72</c:f>
              <c:strCache>
                <c:ptCount val="1"/>
                <c:pt idx="0">
                  <c:v>Id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0.43974092229995509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'パラメータ入力(連続動作状態チェック)'!$D$73:$D$81</c:f>
              <c:numCache>
                <c:formatCode>General</c:formatCode>
                <c:ptCount val="9"/>
                <c:pt idx="0">
                  <c:v>0</c:v>
                </c:pt>
                <c:pt idx="1">
                  <c:v>0.4506994473871816</c:v>
                </c:pt>
                <c:pt idx="2">
                  <c:v>1.8576849140094662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513480"/>
        <c:axId val="408508776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'パラメータ入力(連続動作状態チェック)'!$C$72</c:f>
              <c:strCache>
                <c:ptCount val="1"/>
                <c:pt idx="0">
                  <c:v>Vds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0.43974092229995509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'パラメータ入力(連続動作状態チェック)'!$C$73:$C$81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282.42135623730951</c:v>
                </c:pt>
                <c:pt idx="4">
                  <c:v>252.42135623730951</c:v>
                </c:pt>
                <c:pt idx="5">
                  <c:v>252.42135623730951</c:v>
                </c:pt>
                <c:pt idx="6" formatCode="0.00">
                  <c:v>141.42135623730951</c:v>
                </c:pt>
                <c:pt idx="7" formatCode="0.00">
                  <c:v>141.42135623730951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74536"/>
        <c:axId val="422280416"/>
      </c:scatterChart>
      <c:valAx>
        <c:axId val="40851348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8508776"/>
        <c:crosses val="autoZero"/>
        <c:crossBetween val="midCat"/>
        <c:majorUnit val="0.1"/>
        <c:minorUnit val="0.05"/>
      </c:valAx>
      <c:valAx>
        <c:axId val="4085087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08513480"/>
        <c:crosses val="autoZero"/>
        <c:crossBetween val="midCat"/>
      </c:valAx>
      <c:valAx>
        <c:axId val="422274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280416"/>
        <c:crosses val="autoZero"/>
        <c:crossBetween val="midCat"/>
      </c:valAx>
      <c:valAx>
        <c:axId val="4222804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74536"/>
        <c:crosses val="max"/>
        <c:crossBetween val="midCat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005905511811"/>
          <c:y val="1.3367013333859572E-2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'パラメータ入力(連続動作状態チェック)'!$D$72</c:f>
              <c:strCache>
                <c:ptCount val="1"/>
                <c:pt idx="0">
                  <c:v>Id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0.43974092229995509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'パラメータ入力(連続動作状態チェック)'!$D$73:$D$81</c:f>
              <c:numCache>
                <c:formatCode>General</c:formatCode>
                <c:ptCount val="9"/>
                <c:pt idx="0">
                  <c:v>0</c:v>
                </c:pt>
                <c:pt idx="1">
                  <c:v>0.4506994473871816</c:v>
                </c:pt>
                <c:pt idx="2">
                  <c:v>1.8576849140094662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81200"/>
        <c:axId val="422283160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'パラメータ入力(連続動作状態チェック)'!$C$72</c:f>
              <c:strCache>
                <c:ptCount val="1"/>
                <c:pt idx="0">
                  <c:v>Vds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0.43974092229995509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'パラメータ入力(連続動作状態チェック)'!$C$73:$C$81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282.42135623730951</c:v>
                </c:pt>
                <c:pt idx="4">
                  <c:v>252.42135623730951</c:v>
                </c:pt>
                <c:pt idx="5">
                  <c:v>252.42135623730951</c:v>
                </c:pt>
                <c:pt idx="6" formatCode="0.00">
                  <c:v>141.42135623730951</c:v>
                </c:pt>
                <c:pt idx="7" formatCode="0.00">
                  <c:v>141.42135623730951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77280"/>
        <c:axId val="422281592"/>
      </c:scatterChart>
      <c:valAx>
        <c:axId val="42228120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83160"/>
        <c:crosses val="autoZero"/>
        <c:crossBetween val="midCat"/>
        <c:majorUnit val="0.1"/>
        <c:minorUnit val="0.05"/>
      </c:valAx>
      <c:valAx>
        <c:axId val="422283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81200"/>
        <c:crosses val="autoZero"/>
        <c:crossBetween val="midCat"/>
      </c:valAx>
      <c:valAx>
        <c:axId val="42227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281592"/>
        <c:crosses val="autoZero"/>
        <c:crossBetween val="midCat"/>
      </c:valAx>
      <c:valAx>
        <c:axId val="4222815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7728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32070129513428"/>
          <c:y val="0.13032613351281894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動作状態（連続モード）</a:t>
            </a:r>
          </a:p>
        </c:rich>
      </c:tx>
      <c:layout>
        <c:manualLayout>
          <c:xMode val="edge"/>
          <c:yMode val="edge"/>
          <c:x val="0.37241410662556118"/>
          <c:y val="3.2178217821782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1881188118811881"/>
          <c:w val="0.85862141249782165"/>
          <c:h val="0.7672647961258364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'パラメータ入力(連続動作状態チェック)'!$C$35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'パラメータ入力(連続動作状態チェック)'!$B$36:$B$40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'パラメータ入力(連続動作状態チェック)'!$C$36:$C$40</c:f>
              <c:numCache>
                <c:formatCode>General</c:formatCode>
                <c:ptCount val="5"/>
                <c:pt idx="0">
                  <c:v>0</c:v>
                </c:pt>
                <c:pt idx="1">
                  <c:v>0.4506994473871816</c:v>
                </c:pt>
                <c:pt idx="2">
                  <c:v>1.8576849140094662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'パラメータ入力(連続動作状態チェック)'!$D$35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'パラメータ入力(連続動作状態チェック)'!$B$36:$B$40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0.43974092229995509</c:v>
                </c:pt>
                <c:pt idx="3">
                  <c:v>0.43974092229995509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'パラメータ入力(連続動作状態チェック)'!$D$36:$D$40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1.8576849140094662</c:v>
                </c:pt>
                <c:pt idx="4">
                  <c:v>0.4506994473871816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73752"/>
        <c:axId val="422282768"/>
      </c:scatterChart>
      <c:valAx>
        <c:axId val="422273752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50862111784509512"/>
              <c:y val="0.935643564356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2768"/>
        <c:crosses val="autoZero"/>
        <c:crossBetween val="midCat"/>
      </c:valAx>
      <c:valAx>
        <c:axId val="422282768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8.6206969126287319E-3"/>
              <c:y val="0.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737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動作状態（不連続モード）</a:t>
            </a:r>
          </a:p>
        </c:rich>
      </c:tx>
      <c:layout>
        <c:manualLayout>
          <c:xMode val="edge"/>
          <c:yMode val="edge"/>
          <c:x val="0.35110325631826633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794980033405E-2"/>
          <c:y val="0.12303680648315619"/>
          <c:w val="0.76103009484692274"/>
          <c:h val="0.76178107843826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'パラメータ入力(連続動作状態チェック)'!$M$35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'パラメータ入力(連続動作状態チェック)'!$L$36:$L$40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0.56325640500377605</c:v>
                </c:pt>
                <c:pt idx="2">
                  <c:v>0.56325640500377605</c:v>
                </c:pt>
                <c:pt idx="3">
                  <c:v>1.2808823933369768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'パラメータ入力(連続動作状態チェック)'!$M$36:$M$40</c:f>
              <c:numCache>
                <c:formatCode>General</c:formatCode>
                <c:ptCount val="5"/>
                <c:pt idx="0">
                  <c:v>0</c:v>
                </c:pt>
                <c:pt idx="1">
                  <c:v>1.8021829118774952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'パラメータ入力(連続動作状態チェック)'!$N$35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'パラメータ入力(連続動作状態チェック)'!$L$36:$L$40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0.56325640500377605</c:v>
                </c:pt>
                <c:pt idx="2">
                  <c:v>0.56325640500377605</c:v>
                </c:pt>
                <c:pt idx="3">
                  <c:v>1.2808823933369768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'パラメータ入力(連続動作状態チェック)'!$N$36:$N$40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1.8021829118774952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80024"/>
        <c:axId val="422281984"/>
      </c:scatterChart>
      <c:valAx>
        <c:axId val="422280024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46691218379497196"/>
              <c:y val="0.93193836400007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1984"/>
        <c:crosses val="autoZero"/>
        <c:crossBetween val="midCat"/>
      </c:valAx>
      <c:valAx>
        <c:axId val="422281984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9.1911847203734638E-3"/>
              <c:y val="0.46858698639329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00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'パラメータ入力(連続定格出力)'!$D$72</c:f>
              <c:strCache>
                <c:ptCount val="1"/>
                <c:pt idx="0">
                  <c:v>Id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'パラメータ入力(連続定格出力)'!$B$73:$B$81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0.57263857043872302</c:v>
                </c:pt>
                <c:pt idx="3">
                  <c:v>0.57263857043872302</c:v>
                </c:pt>
                <c:pt idx="4">
                  <c:v>0.57263857043872302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'パラメータ入力(連続定格出力)'!$D$73:$D$81</c:f>
              <c:numCache>
                <c:formatCode>General</c:formatCode>
                <c:ptCount val="9"/>
                <c:pt idx="0">
                  <c:v>0</c:v>
                </c:pt>
                <c:pt idx="1">
                  <c:v>0.97649520815828927</c:v>
                </c:pt>
                <c:pt idx="2">
                  <c:v>2.0497331873732612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83552"/>
        <c:axId val="422278848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'パラメータ入力(連続定格出力)'!$C$72</c:f>
              <c:strCache>
                <c:ptCount val="1"/>
                <c:pt idx="0">
                  <c:v>Vds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'パラメータ入力(連続定格出力)'!$B$73:$B$81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0.57263857043872302</c:v>
                </c:pt>
                <c:pt idx="3">
                  <c:v>0.57263857043872302</c:v>
                </c:pt>
                <c:pt idx="4">
                  <c:v>0.57263857043872302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'パラメータ入力(連続定格出力)'!$C$73:$C$81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223.83954509902841</c:v>
                </c:pt>
                <c:pt idx="4">
                  <c:v>193.83954509902841</c:v>
                </c:pt>
                <c:pt idx="5">
                  <c:v>193.83954509902841</c:v>
                </c:pt>
                <c:pt idx="6" formatCode="0.00">
                  <c:v>82.839545099028413</c:v>
                </c:pt>
                <c:pt idx="7" formatCode="0.00">
                  <c:v>82.839545099028413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75712"/>
        <c:axId val="422274144"/>
      </c:scatterChart>
      <c:valAx>
        <c:axId val="42228355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78848"/>
        <c:crosses val="autoZero"/>
        <c:crossBetween val="midCat"/>
        <c:majorUnit val="0.1"/>
        <c:minorUnit val="0.05"/>
      </c:valAx>
      <c:valAx>
        <c:axId val="42227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83552"/>
        <c:crosses val="autoZero"/>
        <c:crossBetween val="midCat"/>
      </c:valAx>
      <c:valAx>
        <c:axId val="4222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274144"/>
        <c:crosses val="autoZero"/>
        <c:crossBetween val="midCat"/>
      </c:valAx>
      <c:valAx>
        <c:axId val="4222741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7571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32070129513428"/>
          <c:y val="0.13032613351281894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動作状態（連続モード）</a:t>
            </a:r>
          </a:p>
        </c:rich>
      </c:tx>
      <c:layout>
        <c:manualLayout>
          <c:xMode val="edge"/>
          <c:yMode val="edge"/>
          <c:x val="0.37241410662556118"/>
          <c:y val="3.2178217821782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79387273864562E-2"/>
          <c:y val="0.11881188118811881"/>
          <c:w val="0.85862141249782165"/>
          <c:h val="0.763287746926371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'パラメータ入力(連続定格出力)'!$C$35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'パラメータ入力(連続定格出力)'!$B$36:$B$40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0.57263857043872302</c:v>
                </c:pt>
                <c:pt idx="3">
                  <c:v>0.57263857043872302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'パラメータ入力(連続定格出力)'!$C$36:$C$40</c:f>
              <c:numCache>
                <c:formatCode>General</c:formatCode>
                <c:ptCount val="5"/>
                <c:pt idx="0">
                  <c:v>0</c:v>
                </c:pt>
                <c:pt idx="1">
                  <c:v>0.97649520815828927</c:v>
                </c:pt>
                <c:pt idx="2">
                  <c:v>2.0497331873732612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'パラメータ入力(連続定格出力)'!$D$35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'パラメータ入力(連続定格出力)'!$B$36:$B$40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0.57263857043872302</c:v>
                </c:pt>
                <c:pt idx="3">
                  <c:v>0.57263857043872302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'パラメータ入力(連続定格出力)'!$D$36:$D$40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2.0497331873732612</c:v>
                </c:pt>
                <c:pt idx="4">
                  <c:v>0.97649520815828927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77672"/>
        <c:axId val="422275320"/>
      </c:scatterChart>
      <c:valAx>
        <c:axId val="422277672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50862111784509512"/>
              <c:y val="0.935643564356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75320"/>
        <c:crosses val="autoZero"/>
        <c:crossBetween val="midCat"/>
      </c:valAx>
      <c:valAx>
        <c:axId val="422275320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8.6206969126287319E-3"/>
              <c:y val="0.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776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動作状態（不連続モード）</a:t>
            </a:r>
          </a:p>
        </c:rich>
      </c:tx>
      <c:layout>
        <c:manualLayout>
          <c:xMode val="edge"/>
          <c:yMode val="edge"/>
          <c:x val="0.35110325631826633"/>
          <c:y val="3.141365271910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264794980033405E-2"/>
          <c:y val="0.12303680648315619"/>
          <c:w val="0.76103009484692274"/>
          <c:h val="0.761781078438264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'パラメータ入力(連続定格出力)'!$M$35</c:f>
              <c:strCache>
                <c:ptCount val="1"/>
                <c:pt idx="0">
                  <c:v>Ip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'パラメータ入力(連続定格出力)'!$L$36:$L$40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0.96157559303062301</c:v>
                </c:pt>
                <c:pt idx="2">
                  <c:v>0.96157559303062301</c:v>
                </c:pt>
                <c:pt idx="3">
                  <c:v>1.6792015813638237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'パラメータ入力(連続定格出力)'!$M$36:$M$40</c:f>
              <c:numCache>
                <c:formatCode>General</c:formatCode>
                <c:ptCount val="5"/>
                <c:pt idx="0">
                  <c:v>0</c:v>
                </c:pt>
                <c:pt idx="1">
                  <c:v>1.8021829118774952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'パラメータ入力(連続定格出力)'!$N$35</c:f>
              <c:strCache>
                <c:ptCount val="1"/>
                <c:pt idx="0">
                  <c:v>Is'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'パラメータ入力(連続定格出力)'!$L$36:$L$40</c:f>
              <c:numCache>
                <c:formatCode>General</c:formatCode>
                <c:ptCount val="5"/>
                <c:pt idx="0">
                  <c:v>0</c:v>
                </c:pt>
                <c:pt idx="1">
                  <c:v>0.96157559303062301</c:v>
                </c:pt>
                <c:pt idx="2">
                  <c:v>0.96157559303062301</c:v>
                </c:pt>
                <c:pt idx="3">
                  <c:v>1.6792015813638237</c:v>
                </c:pt>
                <c:pt idx="4">
                  <c:v>1</c:v>
                </c:pt>
              </c:numCache>
            </c:numRef>
          </c:xVal>
          <c:yVal>
            <c:numRef>
              <c:f>'パラメータ入力(連続定格出力)'!$N$36:$N$40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1.8021829118774952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82376"/>
        <c:axId val="422278064"/>
      </c:scatterChart>
      <c:valAx>
        <c:axId val="422282376"/>
        <c:scaling>
          <c:orientation val="minMax"/>
        </c:scaling>
        <c:delete val="0"/>
        <c:axPos val="b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D</a:t>
                </a:r>
              </a:p>
            </c:rich>
          </c:tx>
          <c:layout>
            <c:manualLayout>
              <c:xMode val="edge"/>
              <c:yMode val="edge"/>
              <c:x val="0.46691218379497196"/>
              <c:y val="0.93193836400007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78064"/>
        <c:crosses val="autoZero"/>
        <c:crossBetween val="midCat"/>
      </c:valAx>
      <c:valAx>
        <c:axId val="422278064"/>
        <c:scaling>
          <c:orientation val="minMax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I(A)</a:t>
                </a:r>
              </a:p>
            </c:rich>
          </c:tx>
          <c:layout>
            <c:manualLayout>
              <c:xMode val="edge"/>
              <c:yMode val="edge"/>
              <c:x val="9.1911847203734638E-3"/>
              <c:y val="0.46858698639329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2823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Duty vs. Id Vds</a:t>
            </a:r>
          </a:p>
        </c:rich>
      </c:tx>
      <c:layout>
        <c:manualLayout>
          <c:xMode val="edge"/>
          <c:yMode val="edge"/>
          <c:x val="0.40798680282050714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12436442796"/>
          <c:y val="0.10025087193293765"/>
          <c:w val="0.73784847318602365"/>
          <c:h val="0.73183136511044489"/>
        </c:manualLayout>
      </c:layout>
      <c:scatterChart>
        <c:scatterStyle val="lineMarker"/>
        <c:varyColors val="0"/>
        <c:ser>
          <c:idx val="1"/>
          <c:order val="1"/>
          <c:tx>
            <c:strRef>
              <c:f>'パラメータ入力(臨界動作状態チェック)'!$D$72</c:f>
              <c:strCache>
                <c:ptCount val="1"/>
                <c:pt idx="0">
                  <c:v>Id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0.43736458221691626</c:v>
                </c:pt>
                <c:pt idx="3">
                  <c:v>0.43736458221691626</c:v>
                </c:pt>
                <c:pt idx="4">
                  <c:v>0.43736458221691626</c:v>
                </c:pt>
                <c:pt idx="5">
                  <c:v>0.99711745449999833</c:v>
                </c:pt>
                <c:pt idx="6">
                  <c:v>0.99711745449999833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'パラメータ入力(臨界動作状態チェック)'!$D$73:$D$81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2.3209265436127793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76496"/>
        <c:axId val="422276888"/>
      </c:scatterChart>
      <c:scatterChart>
        <c:scatterStyle val="lineMarker"/>
        <c:varyColors val="0"/>
        <c:ser>
          <c:idx val="0"/>
          <c:order val="0"/>
          <c:tx>
            <c:strRef>
              <c:f>'パラメータ入力(臨界動作状態チェック)'!$C$72</c:f>
              <c:strCache>
                <c:ptCount val="1"/>
                <c:pt idx="0">
                  <c:v>Vds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'パラメータ入力(臨界動作状態チェック)'!$B$73:$B$81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0.43736458221691626</c:v>
                </c:pt>
                <c:pt idx="3">
                  <c:v>0.43736458221691626</c:v>
                </c:pt>
                <c:pt idx="4">
                  <c:v>0.43736458221691626</c:v>
                </c:pt>
                <c:pt idx="5">
                  <c:v>0.99711745449999833</c:v>
                </c:pt>
                <c:pt idx="6">
                  <c:v>0.99711745449999833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'パラメータ入力(臨界動作状態チェック)'!$C$73:$C$81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281.92135623730951</c:v>
                </c:pt>
                <c:pt idx="4">
                  <c:v>251.92135623730951</c:v>
                </c:pt>
                <c:pt idx="5">
                  <c:v>251.92135623730951</c:v>
                </c:pt>
                <c:pt idx="6">
                  <c:v>141.42135623730951</c:v>
                </c:pt>
                <c:pt idx="7">
                  <c:v>141.42135623730951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84336"/>
        <c:axId val="422284728"/>
      </c:scatterChart>
      <c:valAx>
        <c:axId val="42227649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Duty</a:t>
                </a:r>
              </a:p>
            </c:rich>
          </c:tx>
          <c:layout>
            <c:manualLayout>
              <c:xMode val="edge"/>
              <c:yMode val="edge"/>
              <c:x val="0.47743136500272115"/>
              <c:y val="0.91228293458973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76888"/>
        <c:crosses val="autoZero"/>
        <c:crossBetween val="midCat"/>
        <c:majorUnit val="0.1"/>
        <c:minorUnit val="0.05"/>
      </c:valAx>
      <c:valAx>
        <c:axId val="422276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Id [A]</a:t>
                </a:r>
              </a:p>
            </c:rich>
          </c:tx>
          <c:layout>
            <c:manualLayout>
              <c:xMode val="edge"/>
              <c:yMode val="edge"/>
              <c:x val="2.0833368654664196E-2"/>
              <c:y val="0.416041118521691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76496"/>
        <c:crosses val="autoZero"/>
        <c:crossBetween val="midCat"/>
      </c:valAx>
      <c:valAx>
        <c:axId val="42228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284728"/>
        <c:crosses val="autoZero"/>
        <c:crossBetween val="midCat"/>
      </c:valAx>
      <c:valAx>
        <c:axId val="42228472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Vds[V]</a:t>
                </a:r>
              </a:p>
            </c:rich>
          </c:tx>
          <c:layout>
            <c:manualLayout>
              <c:xMode val="edge"/>
              <c:yMode val="edge"/>
              <c:x val="0.93923770351444413"/>
              <c:y val="0.40601603132839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22284336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32070129513428"/>
          <c:y val="0.13032613351281894"/>
          <c:w val="0.11458352760065307"/>
          <c:h val="0.11278223092455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313459</xdr:colOff>
      <xdr:row>39</xdr:row>
      <xdr:rowOff>3339</xdr:rowOff>
    </xdr:from>
    <xdr:to>
      <xdr:col>6</xdr:col>
      <xdr:colOff>590551</xdr:colOff>
      <xdr:row>39</xdr:row>
      <xdr:rowOff>179738</xdr:rowOff>
    </xdr:to>
    <xdr:sp macro="" textlink="">
      <xdr:nvSpPr>
        <xdr:cNvPr id="6" name="下矢印 5"/>
        <xdr:cNvSpPr/>
      </xdr:nvSpPr>
      <xdr:spPr>
        <a:xfrm>
          <a:off x="5714134" y="5356389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313459</xdr:colOff>
      <xdr:row>46</xdr:row>
      <xdr:rowOff>3339</xdr:rowOff>
    </xdr:from>
    <xdr:to>
      <xdr:col>6</xdr:col>
      <xdr:colOff>590551</xdr:colOff>
      <xdr:row>46</xdr:row>
      <xdr:rowOff>179738</xdr:rowOff>
    </xdr:to>
    <xdr:sp macro="" textlink="">
      <xdr:nvSpPr>
        <xdr:cNvPr id="7" name="下矢印 6"/>
        <xdr:cNvSpPr/>
      </xdr:nvSpPr>
      <xdr:spPr>
        <a:xfrm>
          <a:off x="5714134" y="6099339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313459</xdr:colOff>
      <xdr:row>49</xdr:row>
      <xdr:rowOff>14545</xdr:rowOff>
    </xdr:from>
    <xdr:to>
      <xdr:col>6</xdr:col>
      <xdr:colOff>590551</xdr:colOff>
      <xdr:row>50</xdr:row>
      <xdr:rowOff>444</xdr:rowOff>
    </xdr:to>
    <xdr:sp macro="" textlink="">
      <xdr:nvSpPr>
        <xdr:cNvPr id="8" name="下矢印 7"/>
        <xdr:cNvSpPr/>
      </xdr:nvSpPr>
      <xdr:spPr>
        <a:xfrm>
          <a:off x="5725900" y="8990457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62</xdr:row>
      <xdr:rowOff>3362</xdr:rowOff>
    </xdr:from>
    <xdr:to>
      <xdr:col>15</xdr:col>
      <xdr:colOff>556932</xdr:colOff>
      <xdr:row>83</xdr:row>
      <xdr:rowOff>0</xdr:rowOff>
    </xdr:to>
    <xdr:graphicFrame macro="">
      <xdr:nvGraphicFramePr>
        <xdr:cNvPr id="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313459</xdr:colOff>
      <xdr:row>54</xdr:row>
      <xdr:rowOff>14545</xdr:rowOff>
    </xdr:from>
    <xdr:to>
      <xdr:col>6</xdr:col>
      <xdr:colOff>590551</xdr:colOff>
      <xdr:row>55</xdr:row>
      <xdr:rowOff>11650</xdr:rowOff>
    </xdr:to>
    <xdr:sp macro="" textlink="">
      <xdr:nvSpPr>
        <xdr:cNvPr id="9" name="下矢印 8"/>
        <xdr:cNvSpPr/>
      </xdr:nvSpPr>
      <xdr:spPr>
        <a:xfrm>
          <a:off x="5725900" y="9730045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313459</xdr:colOff>
      <xdr:row>40</xdr:row>
      <xdr:rowOff>3339</xdr:rowOff>
    </xdr:from>
    <xdr:to>
      <xdr:col>6</xdr:col>
      <xdr:colOff>590551</xdr:colOff>
      <xdr:row>40</xdr:row>
      <xdr:rowOff>179738</xdr:rowOff>
    </xdr:to>
    <xdr:sp macro="" textlink="">
      <xdr:nvSpPr>
        <xdr:cNvPr id="2" name="下矢印 1"/>
        <xdr:cNvSpPr/>
      </xdr:nvSpPr>
      <xdr:spPr>
        <a:xfrm>
          <a:off x="5714134" y="7185189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313459</xdr:colOff>
      <xdr:row>47</xdr:row>
      <xdr:rowOff>3339</xdr:rowOff>
    </xdr:from>
    <xdr:to>
      <xdr:col>6</xdr:col>
      <xdr:colOff>590551</xdr:colOff>
      <xdr:row>47</xdr:row>
      <xdr:rowOff>179738</xdr:rowOff>
    </xdr:to>
    <xdr:sp macro="" textlink="">
      <xdr:nvSpPr>
        <xdr:cNvPr id="3" name="下矢印 2"/>
        <xdr:cNvSpPr/>
      </xdr:nvSpPr>
      <xdr:spPr>
        <a:xfrm>
          <a:off x="5714134" y="8480589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313459</xdr:colOff>
      <xdr:row>50</xdr:row>
      <xdr:rowOff>14545</xdr:rowOff>
    </xdr:from>
    <xdr:to>
      <xdr:col>6</xdr:col>
      <xdr:colOff>590551</xdr:colOff>
      <xdr:row>51</xdr:row>
      <xdr:rowOff>444</xdr:rowOff>
    </xdr:to>
    <xdr:sp macro="" textlink="">
      <xdr:nvSpPr>
        <xdr:cNvPr id="4" name="下矢印 3"/>
        <xdr:cNvSpPr/>
      </xdr:nvSpPr>
      <xdr:spPr>
        <a:xfrm>
          <a:off x="5714134" y="9044245"/>
          <a:ext cx="277092" cy="176399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62</xdr:row>
      <xdr:rowOff>177614</xdr:rowOff>
    </xdr:from>
    <xdr:to>
      <xdr:col>15</xdr:col>
      <xdr:colOff>556932</xdr:colOff>
      <xdr:row>84</xdr:row>
      <xdr:rowOff>0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313459</xdr:colOff>
      <xdr:row>55</xdr:row>
      <xdr:rowOff>14545</xdr:rowOff>
    </xdr:from>
    <xdr:to>
      <xdr:col>6</xdr:col>
      <xdr:colOff>590551</xdr:colOff>
      <xdr:row>56</xdr:row>
      <xdr:rowOff>11650</xdr:rowOff>
    </xdr:to>
    <xdr:sp macro="" textlink="">
      <xdr:nvSpPr>
        <xdr:cNvPr id="7" name="下矢印 6"/>
        <xdr:cNvSpPr/>
      </xdr:nvSpPr>
      <xdr:spPr>
        <a:xfrm>
          <a:off x="5714134" y="9787195"/>
          <a:ext cx="277092" cy="178080"/>
        </a:xfrm>
        <a:prstGeom prst="downArrow">
          <a:avLst>
            <a:gd name="adj1" fmla="val 39009"/>
            <a:gd name="adj2" fmla="val 64725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34</xdr:row>
      <xdr:rowOff>38100</xdr:rowOff>
    </xdr:from>
    <xdr:to>
      <xdr:col>8</xdr:col>
      <xdr:colOff>571500</xdr:colOff>
      <xdr:row>42</xdr:row>
      <xdr:rowOff>114300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 = Vo'/(Vin+Vo')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Vo*Io/(Vin*Dc)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ΔI = Vin*Dc/(Lp*fsw)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 = Imean-ΔI/2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Imean+ΔI/2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38100</xdr:colOff>
      <xdr:row>64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457200</xdr:colOff>
      <xdr:row>40</xdr:row>
      <xdr:rowOff>114300</xdr:rowOff>
    </xdr:to>
    <xdr:sp macro="" textlink="">
      <xdr:nvSpPr>
        <xdr:cNvPr id="6" name="図形 4"/>
        <xdr:cNvSpPr>
          <a:spLocks/>
        </xdr:cNvSpPr>
      </xdr:nvSpPr>
      <xdr:spPr bwMode="auto">
        <a:xfrm>
          <a:off x="4762500" y="2990850"/>
          <a:ext cx="1181100" cy="552450"/>
        </a:xfrm>
        <a:custGeom>
          <a:avLst/>
          <a:gdLst>
            <a:gd name="T0" fmla="*/ 0 w 16384"/>
            <a:gd name="T1" fmla="*/ 16384 h 16384"/>
            <a:gd name="T2" fmla="*/ 2014 w 16384"/>
            <a:gd name="T3" fmla="*/ 16384 h 16384"/>
            <a:gd name="T4" fmla="*/ 2014 w 16384"/>
            <a:gd name="T5" fmla="*/ 10348 h 16384"/>
            <a:gd name="T6" fmla="*/ 8326 w 16384"/>
            <a:gd name="T7" fmla="*/ 0 h 16384"/>
            <a:gd name="T8" fmla="*/ 8326 w 16384"/>
            <a:gd name="T9" fmla="*/ 16384 h 16384"/>
            <a:gd name="T10" fmla="*/ 15444 w 16384"/>
            <a:gd name="T11" fmla="*/ 16384 h 16384"/>
            <a:gd name="T12" fmla="*/ 15444 w 16384"/>
            <a:gd name="T13" fmla="*/ 8336 h 16384"/>
            <a:gd name="T14" fmla="*/ 16384 w 16384"/>
            <a:gd name="T15" fmla="*/ 5461 h 16384"/>
            <a:gd name="T16" fmla="*/ 16384 w 16384"/>
            <a:gd name="T17" fmla="*/ 574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2014" y="16384"/>
              </a:lnTo>
              <a:lnTo>
                <a:pt x="2014" y="10348"/>
              </a:lnTo>
              <a:lnTo>
                <a:pt x="8326" y="0"/>
              </a:lnTo>
              <a:lnTo>
                <a:pt x="8326" y="16384"/>
              </a:lnTo>
              <a:lnTo>
                <a:pt x="15444" y="16384"/>
              </a:lnTo>
              <a:lnTo>
                <a:pt x="15444" y="8336"/>
              </a:lnTo>
              <a:lnTo>
                <a:pt x="16384" y="5461"/>
              </a:lnTo>
              <a:lnTo>
                <a:pt x="16384" y="574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38</xdr:row>
      <xdr:rowOff>152400</xdr:rowOff>
    </xdr:from>
    <xdr:to>
      <xdr:col>7</xdr:col>
      <xdr:colOff>66675</xdr:colOff>
      <xdr:row>39</xdr:row>
      <xdr:rowOff>152400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4676775" y="32385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</a:t>
          </a:r>
        </a:p>
      </xdr:txBody>
    </xdr:sp>
    <xdr:clientData/>
  </xdr:twoCellAnchor>
  <xdr:twoCellAnchor>
    <xdr:from>
      <xdr:col>6</xdr:col>
      <xdr:colOff>600075</xdr:colOff>
      <xdr:row>37</xdr:row>
      <xdr:rowOff>76200</xdr:rowOff>
    </xdr:from>
    <xdr:to>
      <xdr:col>7</xdr:col>
      <xdr:colOff>333375</xdr:colOff>
      <xdr:row>38</xdr:row>
      <xdr:rowOff>114300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4714875" y="2990850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</a:t>
          </a:r>
        </a:p>
      </xdr:txBody>
    </xdr:sp>
    <xdr:clientData/>
  </xdr:twoCellAnchor>
  <xdr:twoCellAnchor>
    <xdr:from>
      <xdr:col>7</xdr:col>
      <xdr:colOff>428625</xdr:colOff>
      <xdr:row>36</xdr:row>
      <xdr:rowOff>47625</xdr:rowOff>
    </xdr:from>
    <xdr:to>
      <xdr:col>7</xdr:col>
      <xdr:colOff>619125</xdr:colOff>
      <xdr:row>37</xdr:row>
      <xdr:rowOff>47625</xdr:rowOff>
    </xdr:to>
    <xdr:sp macro="" textlink="">
      <xdr:nvSpPr>
        <xdr:cNvPr id="9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7</xdr:col>
      <xdr:colOff>257175</xdr:colOff>
      <xdr:row>40</xdr:row>
      <xdr:rowOff>123825</xdr:rowOff>
    </xdr:from>
    <xdr:to>
      <xdr:col>7</xdr:col>
      <xdr:colOff>485775</xdr:colOff>
      <xdr:row>41</xdr:row>
      <xdr:rowOff>152400</xdr:rowOff>
    </xdr:to>
    <xdr:sp macro="" textlink="">
      <xdr:nvSpPr>
        <xdr:cNvPr id="10" name="テキスト 11"/>
        <xdr:cNvSpPr txBox="1">
          <a:spLocks noChangeArrowheads="1"/>
        </xdr:cNvSpPr>
      </xdr:nvSpPr>
      <xdr:spPr bwMode="auto">
        <a:xfrm>
          <a:off x="5057775" y="355282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</a:t>
          </a:r>
        </a:p>
      </xdr:txBody>
    </xdr:sp>
    <xdr:clientData/>
  </xdr:twoCellAnchor>
  <xdr:twoCellAnchor>
    <xdr:from>
      <xdr:col>14</xdr:col>
      <xdr:colOff>152400</xdr:colOff>
      <xdr:row>34</xdr:row>
      <xdr:rowOff>38100</xdr:rowOff>
    </xdr:from>
    <xdr:to>
      <xdr:col>18</xdr:col>
      <xdr:colOff>571500</xdr:colOff>
      <xdr:row>42</xdr:row>
      <xdr:rowOff>114300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√((2*Vo*Io)/(Lp*fsw))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 =  Lp*Ip*fsw/Vin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 = Lp*Ip*fsw/Vo'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Ip/2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Ip(rms) = Ip*√(D1/3)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647700</xdr:colOff>
      <xdr:row>37</xdr:row>
      <xdr:rowOff>76200</xdr:rowOff>
    </xdr:from>
    <xdr:to>
      <xdr:col>18</xdr:col>
      <xdr:colOff>495300</xdr:colOff>
      <xdr:row>40</xdr:row>
      <xdr:rowOff>123825</xdr:rowOff>
    </xdr:to>
    <xdr:sp macro="" textlink="">
      <xdr:nvSpPr>
        <xdr:cNvPr id="13" name="図形 4"/>
        <xdr:cNvSpPr>
          <a:spLocks/>
        </xdr:cNvSpPr>
      </xdr:nvSpPr>
      <xdr:spPr bwMode="auto">
        <a:xfrm>
          <a:off x="4762500" y="2990850"/>
          <a:ext cx="1219200" cy="561975"/>
        </a:xfrm>
        <a:custGeom>
          <a:avLst/>
          <a:gdLst>
            <a:gd name="T0" fmla="*/ 0 w 16384"/>
            <a:gd name="T1" fmla="*/ 16028 h 16384"/>
            <a:gd name="T2" fmla="*/ 1877 w 16384"/>
            <a:gd name="T3" fmla="*/ 16028 h 16384"/>
            <a:gd name="T4" fmla="*/ 1877 w 16384"/>
            <a:gd name="T5" fmla="*/ 16384 h 16384"/>
            <a:gd name="T6" fmla="*/ 8021 w 16384"/>
            <a:gd name="T7" fmla="*/ 0 h 16384"/>
            <a:gd name="T8" fmla="*/ 8021 w 16384"/>
            <a:gd name="T9" fmla="*/ 16028 h 16384"/>
            <a:gd name="T10" fmla="*/ 15019 w 16384"/>
            <a:gd name="T11" fmla="*/ 16028 h 16384"/>
            <a:gd name="T12" fmla="*/ 16384 w 16384"/>
            <a:gd name="T13" fmla="*/ 4986 h 16384"/>
            <a:gd name="T14" fmla="*/ 15872 w 16384"/>
            <a:gd name="T15" fmla="*/ 5343 h 16384"/>
            <a:gd name="T16" fmla="*/ 15872 w 16384"/>
            <a:gd name="T17" fmla="*/ 569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028"/>
              </a:moveTo>
              <a:lnTo>
                <a:pt x="1877" y="16028"/>
              </a:lnTo>
              <a:lnTo>
                <a:pt x="1877" y="16384"/>
              </a:lnTo>
              <a:lnTo>
                <a:pt x="8021" y="0"/>
              </a:lnTo>
              <a:lnTo>
                <a:pt x="8021" y="16028"/>
              </a:lnTo>
              <a:lnTo>
                <a:pt x="15019" y="16028"/>
              </a:lnTo>
              <a:lnTo>
                <a:pt x="16384" y="4986"/>
              </a:lnTo>
              <a:lnTo>
                <a:pt x="15872" y="5343"/>
              </a:lnTo>
              <a:lnTo>
                <a:pt x="15872" y="569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40</xdr:row>
      <xdr:rowOff>161925</xdr:rowOff>
    </xdr:from>
    <xdr:to>
      <xdr:col>18</xdr:col>
      <xdr:colOff>295275</xdr:colOff>
      <xdr:row>42</xdr:row>
      <xdr:rowOff>0</xdr:rowOff>
    </xdr:to>
    <xdr:sp macro="" textlink="">
      <xdr:nvSpPr>
        <xdr:cNvPr id="14" name="テキスト 7"/>
        <xdr:cNvSpPr txBox="1">
          <a:spLocks noChangeArrowheads="1"/>
        </xdr:cNvSpPr>
      </xdr:nvSpPr>
      <xdr:spPr bwMode="auto">
        <a:xfrm>
          <a:off x="5514975" y="3590925"/>
          <a:ext cx="266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</a:t>
          </a:r>
        </a:p>
      </xdr:txBody>
    </xdr:sp>
    <xdr:clientData/>
  </xdr:twoCellAnchor>
  <xdr:twoCellAnchor>
    <xdr:from>
      <xdr:col>17</xdr:col>
      <xdr:colOff>428625</xdr:colOff>
      <xdr:row>36</xdr:row>
      <xdr:rowOff>47625</xdr:rowOff>
    </xdr:from>
    <xdr:to>
      <xdr:col>17</xdr:col>
      <xdr:colOff>619125</xdr:colOff>
      <xdr:row>37</xdr:row>
      <xdr:rowOff>47625</xdr:rowOff>
    </xdr:to>
    <xdr:sp macro="" textlink="">
      <xdr:nvSpPr>
        <xdr:cNvPr id="15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17</xdr:col>
      <xdr:colOff>219075</xdr:colOff>
      <xdr:row>40</xdr:row>
      <xdr:rowOff>142875</xdr:rowOff>
    </xdr:from>
    <xdr:to>
      <xdr:col>17</xdr:col>
      <xdr:colOff>447675</xdr:colOff>
      <xdr:row>41</xdr:row>
      <xdr:rowOff>161925</xdr:rowOff>
    </xdr:to>
    <xdr:sp macro="" textlink="">
      <xdr:nvSpPr>
        <xdr:cNvPr id="16" name="テキスト 11"/>
        <xdr:cNvSpPr txBox="1">
          <a:spLocks noChangeArrowheads="1"/>
        </xdr:cNvSpPr>
      </xdr:nvSpPr>
      <xdr:spPr bwMode="auto">
        <a:xfrm>
          <a:off x="5019675" y="3571875"/>
          <a:ext cx="228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</a:t>
          </a:r>
        </a:p>
      </xdr:txBody>
    </xdr:sp>
    <xdr:clientData/>
  </xdr:twoCellAnchor>
  <xdr:twoCellAnchor>
    <xdr:from>
      <xdr:col>17</xdr:col>
      <xdr:colOff>571500</xdr:colOff>
      <xdr:row>37</xdr:row>
      <xdr:rowOff>85725</xdr:rowOff>
    </xdr:from>
    <xdr:to>
      <xdr:col>18</xdr:col>
      <xdr:colOff>333375</xdr:colOff>
      <xdr:row>40</xdr:row>
      <xdr:rowOff>142875</xdr:rowOff>
    </xdr:to>
    <xdr:sp macro="" textlink="">
      <xdr:nvSpPr>
        <xdr:cNvPr id="17" name="図形 13"/>
        <xdr:cNvSpPr>
          <a:spLocks/>
        </xdr:cNvSpPr>
      </xdr:nvSpPr>
      <xdr:spPr bwMode="auto">
        <a:xfrm>
          <a:off x="5372100" y="3000375"/>
          <a:ext cx="447675" cy="571500"/>
        </a:xfrm>
        <a:custGeom>
          <a:avLst/>
          <a:gdLst>
            <a:gd name="T0" fmla="*/ 0 w 16384"/>
            <a:gd name="T1" fmla="*/ 0 h 16384"/>
            <a:gd name="T2" fmla="*/ 16384 w 16384"/>
            <a:gd name="T3" fmla="*/ 16384 h 16384"/>
            <a:gd name="T4" fmla="*/ 15916 w 16384"/>
            <a:gd name="T5" fmla="*/ 16028 h 16384"/>
            <a:gd name="T6" fmla="*/ 15448 w 16384"/>
            <a:gd name="T7" fmla="*/ 1567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16384"/>
              </a:lnTo>
              <a:lnTo>
                <a:pt x="15916" y="16028"/>
              </a:lnTo>
              <a:lnTo>
                <a:pt x="15448" y="1567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381000</xdr:colOff>
      <xdr:row>64</xdr:row>
      <xdr:rowOff>0</xdr:rowOff>
    </xdr:to>
    <xdr:graphicFrame macro="">
      <xdr:nvGraphicFramePr>
        <xdr:cNvPr id="18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34</xdr:row>
      <xdr:rowOff>38100</xdr:rowOff>
    </xdr:from>
    <xdr:to>
      <xdr:col>8</xdr:col>
      <xdr:colOff>571500</xdr:colOff>
      <xdr:row>42</xdr:row>
      <xdr:rowOff>114300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2895600" y="6191250"/>
          <a:ext cx="3162300" cy="152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 = Vo'/(Vin+Vo')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Vo*Io/(Vin*Dc)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ΔI = Vin*Dc/(Lp*fsw)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 = Imean-ΔI/2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Imean+ΔI/2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38100</xdr:colOff>
      <xdr:row>64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457200</xdr:colOff>
      <xdr:row>40</xdr:row>
      <xdr:rowOff>114300</xdr:rowOff>
    </xdr:to>
    <xdr:sp macro="" textlink="">
      <xdr:nvSpPr>
        <xdr:cNvPr id="6" name="図形 4"/>
        <xdr:cNvSpPr>
          <a:spLocks/>
        </xdr:cNvSpPr>
      </xdr:nvSpPr>
      <xdr:spPr bwMode="auto">
        <a:xfrm>
          <a:off x="4762500" y="2990850"/>
          <a:ext cx="1181100" cy="552450"/>
        </a:xfrm>
        <a:custGeom>
          <a:avLst/>
          <a:gdLst>
            <a:gd name="T0" fmla="*/ 0 w 16384"/>
            <a:gd name="T1" fmla="*/ 16384 h 16384"/>
            <a:gd name="T2" fmla="*/ 2014 w 16384"/>
            <a:gd name="T3" fmla="*/ 16384 h 16384"/>
            <a:gd name="T4" fmla="*/ 2014 w 16384"/>
            <a:gd name="T5" fmla="*/ 10348 h 16384"/>
            <a:gd name="T6" fmla="*/ 8326 w 16384"/>
            <a:gd name="T7" fmla="*/ 0 h 16384"/>
            <a:gd name="T8" fmla="*/ 8326 w 16384"/>
            <a:gd name="T9" fmla="*/ 16384 h 16384"/>
            <a:gd name="T10" fmla="*/ 15444 w 16384"/>
            <a:gd name="T11" fmla="*/ 16384 h 16384"/>
            <a:gd name="T12" fmla="*/ 15444 w 16384"/>
            <a:gd name="T13" fmla="*/ 8336 h 16384"/>
            <a:gd name="T14" fmla="*/ 16384 w 16384"/>
            <a:gd name="T15" fmla="*/ 5461 h 16384"/>
            <a:gd name="T16" fmla="*/ 16384 w 16384"/>
            <a:gd name="T17" fmla="*/ 574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2014" y="16384"/>
              </a:lnTo>
              <a:lnTo>
                <a:pt x="2014" y="10348"/>
              </a:lnTo>
              <a:lnTo>
                <a:pt x="8326" y="0"/>
              </a:lnTo>
              <a:lnTo>
                <a:pt x="8326" y="16384"/>
              </a:lnTo>
              <a:lnTo>
                <a:pt x="15444" y="16384"/>
              </a:lnTo>
              <a:lnTo>
                <a:pt x="15444" y="8336"/>
              </a:lnTo>
              <a:lnTo>
                <a:pt x="16384" y="5461"/>
              </a:lnTo>
              <a:lnTo>
                <a:pt x="16384" y="574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38</xdr:row>
      <xdr:rowOff>152400</xdr:rowOff>
    </xdr:from>
    <xdr:to>
      <xdr:col>7</xdr:col>
      <xdr:colOff>66675</xdr:colOff>
      <xdr:row>39</xdr:row>
      <xdr:rowOff>152400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4676775" y="32385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</a:t>
          </a:r>
        </a:p>
      </xdr:txBody>
    </xdr:sp>
    <xdr:clientData/>
  </xdr:twoCellAnchor>
  <xdr:twoCellAnchor>
    <xdr:from>
      <xdr:col>6</xdr:col>
      <xdr:colOff>600075</xdr:colOff>
      <xdr:row>37</xdr:row>
      <xdr:rowOff>76200</xdr:rowOff>
    </xdr:from>
    <xdr:to>
      <xdr:col>7</xdr:col>
      <xdr:colOff>333375</xdr:colOff>
      <xdr:row>38</xdr:row>
      <xdr:rowOff>114300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4714875" y="2990850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</a:t>
          </a:r>
        </a:p>
      </xdr:txBody>
    </xdr:sp>
    <xdr:clientData/>
  </xdr:twoCellAnchor>
  <xdr:twoCellAnchor>
    <xdr:from>
      <xdr:col>7</xdr:col>
      <xdr:colOff>428625</xdr:colOff>
      <xdr:row>36</xdr:row>
      <xdr:rowOff>47625</xdr:rowOff>
    </xdr:from>
    <xdr:to>
      <xdr:col>7</xdr:col>
      <xdr:colOff>619125</xdr:colOff>
      <xdr:row>37</xdr:row>
      <xdr:rowOff>47625</xdr:rowOff>
    </xdr:to>
    <xdr:sp macro="" textlink="">
      <xdr:nvSpPr>
        <xdr:cNvPr id="9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7</xdr:col>
      <xdr:colOff>257175</xdr:colOff>
      <xdr:row>40</xdr:row>
      <xdr:rowOff>123825</xdr:rowOff>
    </xdr:from>
    <xdr:to>
      <xdr:col>7</xdr:col>
      <xdr:colOff>485775</xdr:colOff>
      <xdr:row>41</xdr:row>
      <xdr:rowOff>152400</xdr:rowOff>
    </xdr:to>
    <xdr:sp macro="" textlink="">
      <xdr:nvSpPr>
        <xdr:cNvPr id="10" name="テキスト 11"/>
        <xdr:cNvSpPr txBox="1">
          <a:spLocks noChangeArrowheads="1"/>
        </xdr:cNvSpPr>
      </xdr:nvSpPr>
      <xdr:spPr bwMode="auto">
        <a:xfrm>
          <a:off x="5057775" y="355282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</a:t>
          </a:r>
        </a:p>
      </xdr:txBody>
    </xdr:sp>
    <xdr:clientData/>
  </xdr:twoCellAnchor>
  <xdr:twoCellAnchor>
    <xdr:from>
      <xdr:col>14</xdr:col>
      <xdr:colOff>152400</xdr:colOff>
      <xdr:row>34</xdr:row>
      <xdr:rowOff>38100</xdr:rowOff>
    </xdr:from>
    <xdr:to>
      <xdr:col>18</xdr:col>
      <xdr:colOff>571500</xdr:colOff>
      <xdr:row>42</xdr:row>
      <xdr:rowOff>114300</xdr:rowOff>
    </xdr:to>
    <xdr:sp macro="" textlink="">
      <xdr:nvSpPr>
        <xdr:cNvPr id="19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√((2*Vo*Io)/(Lp*fsw))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 =  Lp*Ip*fsw/Vin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 = Lp*Ip*fsw/Vo'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Ip/2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Ip(rms) = Ip*√(D1/3)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647700</xdr:colOff>
      <xdr:row>37</xdr:row>
      <xdr:rowOff>76200</xdr:rowOff>
    </xdr:from>
    <xdr:to>
      <xdr:col>18</xdr:col>
      <xdr:colOff>495300</xdr:colOff>
      <xdr:row>40</xdr:row>
      <xdr:rowOff>123825</xdr:rowOff>
    </xdr:to>
    <xdr:sp macro="" textlink="">
      <xdr:nvSpPr>
        <xdr:cNvPr id="21" name="図形 4"/>
        <xdr:cNvSpPr>
          <a:spLocks/>
        </xdr:cNvSpPr>
      </xdr:nvSpPr>
      <xdr:spPr bwMode="auto">
        <a:xfrm>
          <a:off x="4762500" y="2990850"/>
          <a:ext cx="1219200" cy="561975"/>
        </a:xfrm>
        <a:custGeom>
          <a:avLst/>
          <a:gdLst>
            <a:gd name="T0" fmla="*/ 0 w 16384"/>
            <a:gd name="T1" fmla="*/ 16028 h 16384"/>
            <a:gd name="T2" fmla="*/ 1877 w 16384"/>
            <a:gd name="T3" fmla="*/ 16028 h 16384"/>
            <a:gd name="T4" fmla="*/ 1877 w 16384"/>
            <a:gd name="T5" fmla="*/ 16384 h 16384"/>
            <a:gd name="T6" fmla="*/ 8021 w 16384"/>
            <a:gd name="T7" fmla="*/ 0 h 16384"/>
            <a:gd name="T8" fmla="*/ 8021 w 16384"/>
            <a:gd name="T9" fmla="*/ 16028 h 16384"/>
            <a:gd name="T10" fmla="*/ 15019 w 16384"/>
            <a:gd name="T11" fmla="*/ 16028 h 16384"/>
            <a:gd name="T12" fmla="*/ 16384 w 16384"/>
            <a:gd name="T13" fmla="*/ 4986 h 16384"/>
            <a:gd name="T14" fmla="*/ 15872 w 16384"/>
            <a:gd name="T15" fmla="*/ 5343 h 16384"/>
            <a:gd name="T16" fmla="*/ 15872 w 16384"/>
            <a:gd name="T17" fmla="*/ 569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028"/>
              </a:moveTo>
              <a:lnTo>
                <a:pt x="1877" y="16028"/>
              </a:lnTo>
              <a:lnTo>
                <a:pt x="1877" y="16384"/>
              </a:lnTo>
              <a:lnTo>
                <a:pt x="8021" y="0"/>
              </a:lnTo>
              <a:lnTo>
                <a:pt x="8021" y="16028"/>
              </a:lnTo>
              <a:lnTo>
                <a:pt x="15019" y="16028"/>
              </a:lnTo>
              <a:lnTo>
                <a:pt x="16384" y="4986"/>
              </a:lnTo>
              <a:lnTo>
                <a:pt x="15872" y="5343"/>
              </a:lnTo>
              <a:lnTo>
                <a:pt x="15872" y="569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40</xdr:row>
      <xdr:rowOff>161925</xdr:rowOff>
    </xdr:from>
    <xdr:to>
      <xdr:col>18</xdr:col>
      <xdr:colOff>295275</xdr:colOff>
      <xdr:row>42</xdr:row>
      <xdr:rowOff>0</xdr:rowOff>
    </xdr:to>
    <xdr:sp macro="" textlink="">
      <xdr:nvSpPr>
        <xdr:cNvPr id="22" name="テキスト 7"/>
        <xdr:cNvSpPr txBox="1">
          <a:spLocks noChangeArrowheads="1"/>
        </xdr:cNvSpPr>
      </xdr:nvSpPr>
      <xdr:spPr bwMode="auto">
        <a:xfrm>
          <a:off x="5514975" y="3590925"/>
          <a:ext cx="266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</a:t>
          </a:r>
        </a:p>
      </xdr:txBody>
    </xdr:sp>
    <xdr:clientData/>
  </xdr:twoCellAnchor>
  <xdr:twoCellAnchor>
    <xdr:from>
      <xdr:col>17</xdr:col>
      <xdr:colOff>428625</xdr:colOff>
      <xdr:row>36</xdr:row>
      <xdr:rowOff>47625</xdr:rowOff>
    </xdr:from>
    <xdr:to>
      <xdr:col>17</xdr:col>
      <xdr:colOff>619125</xdr:colOff>
      <xdr:row>37</xdr:row>
      <xdr:rowOff>47625</xdr:rowOff>
    </xdr:to>
    <xdr:sp macro="" textlink="">
      <xdr:nvSpPr>
        <xdr:cNvPr id="23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17</xdr:col>
      <xdr:colOff>219075</xdr:colOff>
      <xdr:row>40</xdr:row>
      <xdr:rowOff>142875</xdr:rowOff>
    </xdr:from>
    <xdr:to>
      <xdr:col>17</xdr:col>
      <xdr:colOff>447675</xdr:colOff>
      <xdr:row>41</xdr:row>
      <xdr:rowOff>161925</xdr:rowOff>
    </xdr:to>
    <xdr:sp macro="" textlink="">
      <xdr:nvSpPr>
        <xdr:cNvPr id="24" name="テキスト 11"/>
        <xdr:cNvSpPr txBox="1">
          <a:spLocks noChangeArrowheads="1"/>
        </xdr:cNvSpPr>
      </xdr:nvSpPr>
      <xdr:spPr bwMode="auto">
        <a:xfrm>
          <a:off x="5019675" y="3571875"/>
          <a:ext cx="228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</a:t>
          </a:r>
        </a:p>
      </xdr:txBody>
    </xdr:sp>
    <xdr:clientData/>
  </xdr:twoCellAnchor>
  <xdr:twoCellAnchor>
    <xdr:from>
      <xdr:col>17</xdr:col>
      <xdr:colOff>571500</xdr:colOff>
      <xdr:row>37</xdr:row>
      <xdr:rowOff>85725</xdr:rowOff>
    </xdr:from>
    <xdr:to>
      <xdr:col>18</xdr:col>
      <xdr:colOff>333375</xdr:colOff>
      <xdr:row>40</xdr:row>
      <xdr:rowOff>142875</xdr:rowOff>
    </xdr:to>
    <xdr:sp macro="" textlink="">
      <xdr:nvSpPr>
        <xdr:cNvPr id="25" name="図形 13"/>
        <xdr:cNvSpPr>
          <a:spLocks/>
        </xdr:cNvSpPr>
      </xdr:nvSpPr>
      <xdr:spPr bwMode="auto">
        <a:xfrm>
          <a:off x="5372100" y="3000375"/>
          <a:ext cx="447675" cy="571500"/>
        </a:xfrm>
        <a:custGeom>
          <a:avLst/>
          <a:gdLst>
            <a:gd name="T0" fmla="*/ 0 w 16384"/>
            <a:gd name="T1" fmla="*/ 0 h 16384"/>
            <a:gd name="T2" fmla="*/ 16384 w 16384"/>
            <a:gd name="T3" fmla="*/ 16384 h 16384"/>
            <a:gd name="T4" fmla="*/ 15916 w 16384"/>
            <a:gd name="T5" fmla="*/ 16028 h 16384"/>
            <a:gd name="T6" fmla="*/ 15448 w 16384"/>
            <a:gd name="T7" fmla="*/ 1567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16384"/>
              </a:lnTo>
              <a:lnTo>
                <a:pt x="15916" y="16028"/>
              </a:lnTo>
              <a:lnTo>
                <a:pt x="15448" y="1567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381000</xdr:colOff>
      <xdr:row>64</xdr:row>
      <xdr:rowOff>0</xdr:rowOff>
    </xdr:to>
    <xdr:graphicFrame macro="">
      <xdr:nvGraphicFramePr>
        <xdr:cNvPr id="26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34</xdr:row>
      <xdr:rowOff>38100</xdr:rowOff>
    </xdr:from>
    <xdr:to>
      <xdr:col>8</xdr:col>
      <xdr:colOff>571500</xdr:colOff>
      <xdr:row>42</xdr:row>
      <xdr:rowOff>114300</xdr:rowOff>
    </xdr:to>
    <xdr:sp macro="" textlink="">
      <xdr:nvSpPr>
        <xdr:cNvPr id="3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 = Vo'/(Vin+Vo')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Vo*Io/(Vin*Dc)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ΔI = Vin*Dc/(Lp*fsw)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 = Imean-ΔI/2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Imean+ΔI/2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38100</xdr:colOff>
      <xdr:row>64</xdr:row>
      <xdr:rowOff>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457200</xdr:colOff>
      <xdr:row>40</xdr:row>
      <xdr:rowOff>114300</xdr:rowOff>
    </xdr:to>
    <xdr:sp macro="" textlink="">
      <xdr:nvSpPr>
        <xdr:cNvPr id="6" name="図形 4"/>
        <xdr:cNvSpPr>
          <a:spLocks/>
        </xdr:cNvSpPr>
      </xdr:nvSpPr>
      <xdr:spPr bwMode="auto">
        <a:xfrm>
          <a:off x="4762500" y="2990850"/>
          <a:ext cx="1181100" cy="552450"/>
        </a:xfrm>
        <a:custGeom>
          <a:avLst/>
          <a:gdLst>
            <a:gd name="T0" fmla="*/ 0 w 16384"/>
            <a:gd name="T1" fmla="*/ 16384 h 16384"/>
            <a:gd name="T2" fmla="*/ 2014 w 16384"/>
            <a:gd name="T3" fmla="*/ 16384 h 16384"/>
            <a:gd name="T4" fmla="*/ 2014 w 16384"/>
            <a:gd name="T5" fmla="*/ 10348 h 16384"/>
            <a:gd name="T6" fmla="*/ 8326 w 16384"/>
            <a:gd name="T7" fmla="*/ 0 h 16384"/>
            <a:gd name="T8" fmla="*/ 8326 w 16384"/>
            <a:gd name="T9" fmla="*/ 16384 h 16384"/>
            <a:gd name="T10" fmla="*/ 15444 w 16384"/>
            <a:gd name="T11" fmla="*/ 16384 h 16384"/>
            <a:gd name="T12" fmla="*/ 15444 w 16384"/>
            <a:gd name="T13" fmla="*/ 8336 h 16384"/>
            <a:gd name="T14" fmla="*/ 16384 w 16384"/>
            <a:gd name="T15" fmla="*/ 5461 h 16384"/>
            <a:gd name="T16" fmla="*/ 16384 w 16384"/>
            <a:gd name="T17" fmla="*/ 574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2014" y="16384"/>
              </a:lnTo>
              <a:lnTo>
                <a:pt x="2014" y="10348"/>
              </a:lnTo>
              <a:lnTo>
                <a:pt x="8326" y="0"/>
              </a:lnTo>
              <a:lnTo>
                <a:pt x="8326" y="16384"/>
              </a:lnTo>
              <a:lnTo>
                <a:pt x="15444" y="16384"/>
              </a:lnTo>
              <a:lnTo>
                <a:pt x="15444" y="8336"/>
              </a:lnTo>
              <a:lnTo>
                <a:pt x="16384" y="5461"/>
              </a:lnTo>
              <a:lnTo>
                <a:pt x="16384" y="574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38</xdr:row>
      <xdr:rowOff>152400</xdr:rowOff>
    </xdr:from>
    <xdr:to>
      <xdr:col>7</xdr:col>
      <xdr:colOff>66675</xdr:colOff>
      <xdr:row>39</xdr:row>
      <xdr:rowOff>152400</xdr:rowOff>
    </xdr:to>
    <xdr:sp macro="" textlink="">
      <xdr:nvSpPr>
        <xdr:cNvPr id="7" name="テキスト 7"/>
        <xdr:cNvSpPr txBox="1">
          <a:spLocks noChangeArrowheads="1"/>
        </xdr:cNvSpPr>
      </xdr:nvSpPr>
      <xdr:spPr bwMode="auto">
        <a:xfrm>
          <a:off x="4676775" y="32385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</a:t>
          </a:r>
        </a:p>
      </xdr:txBody>
    </xdr:sp>
    <xdr:clientData/>
  </xdr:twoCellAnchor>
  <xdr:twoCellAnchor>
    <xdr:from>
      <xdr:col>6</xdr:col>
      <xdr:colOff>600075</xdr:colOff>
      <xdr:row>37</xdr:row>
      <xdr:rowOff>76200</xdr:rowOff>
    </xdr:from>
    <xdr:to>
      <xdr:col>7</xdr:col>
      <xdr:colOff>333375</xdr:colOff>
      <xdr:row>38</xdr:row>
      <xdr:rowOff>114300</xdr:rowOff>
    </xdr:to>
    <xdr:sp macro="" textlink="">
      <xdr:nvSpPr>
        <xdr:cNvPr id="8" name="テキスト 8"/>
        <xdr:cNvSpPr txBox="1">
          <a:spLocks noChangeArrowheads="1"/>
        </xdr:cNvSpPr>
      </xdr:nvSpPr>
      <xdr:spPr bwMode="auto">
        <a:xfrm>
          <a:off x="4714875" y="2990850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</a:t>
          </a:r>
        </a:p>
      </xdr:txBody>
    </xdr:sp>
    <xdr:clientData/>
  </xdr:twoCellAnchor>
  <xdr:twoCellAnchor>
    <xdr:from>
      <xdr:col>7</xdr:col>
      <xdr:colOff>428625</xdr:colOff>
      <xdr:row>36</xdr:row>
      <xdr:rowOff>47625</xdr:rowOff>
    </xdr:from>
    <xdr:to>
      <xdr:col>7</xdr:col>
      <xdr:colOff>619125</xdr:colOff>
      <xdr:row>37</xdr:row>
      <xdr:rowOff>47625</xdr:rowOff>
    </xdr:to>
    <xdr:sp macro="" textlink="">
      <xdr:nvSpPr>
        <xdr:cNvPr id="9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7</xdr:col>
      <xdr:colOff>257175</xdr:colOff>
      <xdr:row>40</xdr:row>
      <xdr:rowOff>123825</xdr:rowOff>
    </xdr:from>
    <xdr:to>
      <xdr:col>7</xdr:col>
      <xdr:colOff>485775</xdr:colOff>
      <xdr:row>41</xdr:row>
      <xdr:rowOff>152400</xdr:rowOff>
    </xdr:to>
    <xdr:sp macro="" textlink="">
      <xdr:nvSpPr>
        <xdr:cNvPr id="10" name="テキスト 11"/>
        <xdr:cNvSpPr txBox="1">
          <a:spLocks noChangeArrowheads="1"/>
        </xdr:cNvSpPr>
      </xdr:nvSpPr>
      <xdr:spPr bwMode="auto">
        <a:xfrm>
          <a:off x="5057775" y="355282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</a:t>
          </a:r>
        </a:p>
      </xdr:txBody>
    </xdr:sp>
    <xdr:clientData/>
  </xdr:twoCellAnchor>
  <xdr:twoCellAnchor>
    <xdr:from>
      <xdr:col>14</xdr:col>
      <xdr:colOff>152400</xdr:colOff>
      <xdr:row>34</xdr:row>
      <xdr:rowOff>38100</xdr:rowOff>
    </xdr:from>
    <xdr:to>
      <xdr:col>18</xdr:col>
      <xdr:colOff>571500</xdr:colOff>
      <xdr:row>42</xdr:row>
      <xdr:rowOff>114300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√((2*Vo*Io)/(Lp*fsw))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 =  Lp*Ip*fsw/Vin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 = Lp*Ip*fsw/Vo'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Ip/2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Ip(rms) = Ip*√(D1/3)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647700</xdr:colOff>
      <xdr:row>37</xdr:row>
      <xdr:rowOff>76200</xdr:rowOff>
    </xdr:from>
    <xdr:to>
      <xdr:col>18</xdr:col>
      <xdr:colOff>495300</xdr:colOff>
      <xdr:row>40</xdr:row>
      <xdr:rowOff>123825</xdr:rowOff>
    </xdr:to>
    <xdr:sp macro="" textlink="">
      <xdr:nvSpPr>
        <xdr:cNvPr id="13" name="図形 4"/>
        <xdr:cNvSpPr>
          <a:spLocks/>
        </xdr:cNvSpPr>
      </xdr:nvSpPr>
      <xdr:spPr bwMode="auto">
        <a:xfrm>
          <a:off x="4762500" y="2990850"/>
          <a:ext cx="1219200" cy="561975"/>
        </a:xfrm>
        <a:custGeom>
          <a:avLst/>
          <a:gdLst>
            <a:gd name="T0" fmla="*/ 0 w 16384"/>
            <a:gd name="T1" fmla="*/ 16028 h 16384"/>
            <a:gd name="T2" fmla="*/ 1877 w 16384"/>
            <a:gd name="T3" fmla="*/ 16028 h 16384"/>
            <a:gd name="T4" fmla="*/ 1877 w 16384"/>
            <a:gd name="T5" fmla="*/ 16384 h 16384"/>
            <a:gd name="T6" fmla="*/ 8021 w 16384"/>
            <a:gd name="T7" fmla="*/ 0 h 16384"/>
            <a:gd name="T8" fmla="*/ 8021 w 16384"/>
            <a:gd name="T9" fmla="*/ 16028 h 16384"/>
            <a:gd name="T10" fmla="*/ 15019 w 16384"/>
            <a:gd name="T11" fmla="*/ 16028 h 16384"/>
            <a:gd name="T12" fmla="*/ 16384 w 16384"/>
            <a:gd name="T13" fmla="*/ 4986 h 16384"/>
            <a:gd name="T14" fmla="*/ 15872 w 16384"/>
            <a:gd name="T15" fmla="*/ 5343 h 16384"/>
            <a:gd name="T16" fmla="*/ 15872 w 16384"/>
            <a:gd name="T17" fmla="*/ 569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028"/>
              </a:moveTo>
              <a:lnTo>
                <a:pt x="1877" y="16028"/>
              </a:lnTo>
              <a:lnTo>
                <a:pt x="1877" y="16384"/>
              </a:lnTo>
              <a:lnTo>
                <a:pt x="8021" y="0"/>
              </a:lnTo>
              <a:lnTo>
                <a:pt x="8021" y="16028"/>
              </a:lnTo>
              <a:lnTo>
                <a:pt x="15019" y="16028"/>
              </a:lnTo>
              <a:lnTo>
                <a:pt x="16384" y="4986"/>
              </a:lnTo>
              <a:lnTo>
                <a:pt x="15872" y="5343"/>
              </a:lnTo>
              <a:lnTo>
                <a:pt x="15872" y="569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40</xdr:row>
      <xdr:rowOff>161925</xdr:rowOff>
    </xdr:from>
    <xdr:to>
      <xdr:col>18</xdr:col>
      <xdr:colOff>295275</xdr:colOff>
      <xdr:row>42</xdr:row>
      <xdr:rowOff>0</xdr:rowOff>
    </xdr:to>
    <xdr:sp macro="" textlink="">
      <xdr:nvSpPr>
        <xdr:cNvPr id="14" name="テキスト 7"/>
        <xdr:cNvSpPr txBox="1">
          <a:spLocks noChangeArrowheads="1"/>
        </xdr:cNvSpPr>
      </xdr:nvSpPr>
      <xdr:spPr bwMode="auto">
        <a:xfrm>
          <a:off x="5514975" y="3590925"/>
          <a:ext cx="266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</a:t>
          </a:r>
        </a:p>
      </xdr:txBody>
    </xdr:sp>
    <xdr:clientData/>
  </xdr:twoCellAnchor>
  <xdr:twoCellAnchor>
    <xdr:from>
      <xdr:col>17</xdr:col>
      <xdr:colOff>428625</xdr:colOff>
      <xdr:row>36</xdr:row>
      <xdr:rowOff>47625</xdr:rowOff>
    </xdr:from>
    <xdr:to>
      <xdr:col>17</xdr:col>
      <xdr:colOff>619125</xdr:colOff>
      <xdr:row>37</xdr:row>
      <xdr:rowOff>47625</xdr:rowOff>
    </xdr:to>
    <xdr:sp macro="" textlink="">
      <xdr:nvSpPr>
        <xdr:cNvPr id="15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17</xdr:col>
      <xdr:colOff>219075</xdr:colOff>
      <xdr:row>40</xdr:row>
      <xdr:rowOff>142875</xdr:rowOff>
    </xdr:from>
    <xdr:to>
      <xdr:col>17</xdr:col>
      <xdr:colOff>447675</xdr:colOff>
      <xdr:row>41</xdr:row>
      <xdr:rowOff>161925</xdr:rowOff>
    </xdr:to>
    <xdr:sp macro="" textlink="">
      <xdr:nvSpPr>
        <xdr:cNvPr id="16" name="テキスト 11"/>
        <xdr:cNvSpPr txBox="1">
          <a:spLocks noChangeArrowheads="1"/>
        </xdr:cNvSpPr>
      </xdr:nvSpPr>
      <xdr:spPr bwMode="auto">
        <a:xfrm>
          <a:off x="5019675" y="3571875"/>
          <a:ext cx="228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</a:t>
          </a:r>
        </a:p>
      </xdr:txBody>
    </xdr:sp>
    <xdr:clientData/>
  </xdr:twoCellAnchor>
  <xdr:twoCellAnchor>
    <xdr:from>
      <xdr:col>17</xdr:col>
      <xdr:colOff>571500</xdr:colOff>
      <xdr:row>37</xdr:row>
      <xdr:rowOff>85725</xdr:rowOff>
    </xdr:from>
    <xdr:to>
      <xdr:col>18</xdr:col>
      <xdr:colOff>333375</xdr:colOff>
      <xdr:row>40</xdr:row>
      <xdr:rowOff>142875</xdr:rowOff>
    </xdr:to>
    <xdr:sp macro="" textlink="">
      <xdr:nvSpPr>
        <xdr:cNvPr id="17" name="図形 13"/>
        <xdr:cNvSpPr>
          <a:spLocks/>
        </xdr:cNvSpPr>
      </xdr:nvSpPr>
      <xdr:spPr bwMode="auto">
        <a:xfrm>
          <a:off x="5372100" y="3000375"/>
          <a:ext cx="447675" cy="571500"/>
        </a:xfrm>
        <a:custGeom>
          <a:avLst/>
          <a:gdLst>
            <a:gd name="T0" fmla="*/ 0 w 16384"/>
            <a:gd name="T1" fmla="*/ 0 h 16384"/>
            <a:gd name="T2" fmla="*/ 16384 w 16384"/>
            <a:gd name="T3" fmla="*/ 16384 h 16384"/>
            <a:gd name="T4" fmla="*/ 15916 w 16384"/>
            <a:gd name="T5" fmla="*/ 16028 h 16384"/>
            <a:gd name="T6" fmla="*/ 15448 w 16384"/>
            <a:gd name="T7" fmla="*/ 1567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16384"/>
              </a:lnTo>
              <a:lnTo>
                <a:pt x="15916" y="16028"/>
              </a:lnTo>
              <a:lnTo>
                <a:pt x="15448" y="1567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381000</xdr:colOff>
      <xdr:row>64</xdr:row>
      <xdr:rowOff>0</xdr:rowOff>
    </xdr:to>
    <xdr:graphicFrame macro="">
      <xdr:nvGraphicFramePr>
        <xdr:cNvPr id="18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0</xdr:colOff>
      <xdr:row>28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34</xdr:row>
      <xdr:rowOff>38100</xdr:rowOff>
    </xdr:from>
    <xdr:to>
      <xdr:col>8</xdr:col>
      <xdr:colOff>571500</xdr:colOff>
      <xdr:row>42</xdr:row>
      <xdr:rowOff>114300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 = Vo'/(Vin+Vo')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Vo*Io/(Vin*Dc)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ΔI = Vin*Dc/(Lp*fsw)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 = Imean-ΔI/2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Imean+ΔI/2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9</xdr:col>
      <xdr:colOff>38100</xdr:colOff>
      <xdr:row>64</xdr:row>
      <xdr:rowOff>0</xdr:rowOff>
    </xdr:to>
    <xdr:graphicFrame macro="">
      <xdr:nvGraphicFramePr>
        <xdr:cNvPr id="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647700</xdr:colOff>
      <xdr:row>37</xdr:row>
      <xdr:rowOff>76200</xdr:rowOff>
    </xdr:from>
    <xdr:to>
      <xdr:col>8</xdr:col>
      <xdr:colOff>457200</xdr:colOff>
      <xdr:row>40</xdr:row>
      <xdr:rowOff>114300</xdr:rowOff>
    </xdr:to>
    <xdr:sp macro="" textlink="">
      <xdr:nvSpPr>
        <xdr:cNvPr id="14" name="図形 4"/>
        <xdr:cNvSpPr>
          <a:spLocks/>
        </xdr:cNvSpPr>
      </xdr:nvSpPr>
      <xdr:spPr bwMode="auto">
        <a:xfrm>
          <a:off x="4762500" y="2990850"/>
          <a:ext cx="1181100" cy="552450"/>
        </a:xfrm>
        <a:custGeom>
          <a:avLst/>
          <a:gdLst>
            <a:gd name="T0" fmla="*/ 0 w 16384"/>
            <a:gd name="T1" fmla="*/ 16384 h 16384"/>
            <a:gd name="T2" fmla="*/ 2014 w 16384"/>
            <a:gd name="T3" fmla="*/ 16384 h 16384"/>
            <a:gd name="T4" fmla="*/ 2014 w 16384"/>
            <a:gd name="T5" fmla="*/ 10348 h 16384"/>
            <a:gd name="T6" fmla="*/ 8326 w 16384"/>
            <a:gd name="T7" fmla="*/ 0 h 16384"/>
            <a:gd name="T8" fmla="*/ 8326 w 16384"/>
            <a:gd name="T9" fmla="*/ 16384 h 16384"/>
            <a:gd name="T10" fmla="*/ 15444 w 16384"/>
            <a:gd name="T11" fmla="*/ 16384 h 16384"/>
            <a:gd name="T12" fmla="*/ 15444 w 16384"/>
            <a:gd name="T13" fmla="*/ 8336 h 16384"/>
            <a:gd name="T14" fmla="*/ 16384 w 16384"/>
            <a:gd name="T15" fmla="*/ 5461 h 16384"/>
            <a:gd name="T16" fmla="*/ 16384 w 16384"/>
            <a:gd name="T17" fmla="*/ 574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384"/>
              </a:moveTo>
              <a:lnTo>
                <a:pt x="2014" y="16384"/>
              </a:lnTo>
              <a:lnTo>
                <a:pt x="2014" y="10348"/>
              </a:lnTo>
              <a:lnTo>
                <a:pt x="8326" y="0"/>
              </a:lnTo>
              <a:lnTo>
                <a:pt x="8326" y="16384"/>
              </a:lnTo>
              <a:lnTo>
                <a:pt x="15444" y="16384"/>
              </a:lnTo>
              <a:lnTo>
                <a:pt x="15444" y="8336"/>
              </a:lnTo>
              <a:lnTo>
                <a:pt x="16384" y="5461"/>
              </a:lnTo>
              <a:lnTo>
                <a:pt x="16384" y="574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6</xdr:col>
      <xdr:colOff>561975</xdr:colOff>
      <xdr:row>38</xdr:row>
      <xdr:rowOff>152400</xdr:rowOff>
    </xdr:from>
    <xdr:to>
      <xdr:col>7</xdr:col>
      <xdr:colOff>66675</xdr:colOff>
      <xdr:row>39</xdr:row>
      <xdr:rowOff>152400</xdr:rowOff>
    </xdr:to>
    <xdr:sp macro="" textlink="">
      <xdr:nvSpPr>
        <xdr:cNvPr id="15" name="テキスト 7"/>
        <xdr:cNvSpPr txBox="1">
          <a:spLocks noChangeArrowheads="1"/>
        </xdr:cNvSpPr>
      </xdr:nvSpPr>
      <xdr:spPr bwMode="auto">
        <a:xfrm>
          <a:off x="4676775" y="32385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I0</a:t>
          </a:r>
        </a:p>
      </xdr:txBody>
    </xdr:sp>
    <xdr:clientData/>
  </xdr:twoCellAnchor>
  <xdr:twoCellAnchor>
    <xdr:from>
      <xdr:col>6</xdr:col>
      <xdr:colOff>600075</xdr:colOff>
      <xdr:row>37</xdr:row>
      <xdr:rowOff>76200</xdr:rowOff>
    </xdr:from>
    <xdr:to>
      <xdr:col>7</xdr:col>
      <xdr:colOff>333375</xdr:colOff>
      <xdr:row>38</xdr:row>
      <xdr:rowOff>114300</xdr:rowOff>
    </xdr:to>
    <xdr:sp macro="" textlink="">
      <xdr:nvSpPr>
        <xdr:cNvPr id="16" name="テキスト 8"/>
        <xdr:cNvSpPr txBox="1">
          <a:spLocks noChangeArrowheads="1"/>
        </xdr:cNvSpPr>
      </xdr:nvSpPr>
      <xdr:spPr bwMode="auto">
        <a:xfrm>
          <a:off x="4714875" y="2990850"/>
          <a:ext cx="41910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</a:t>
          </a:r>
        </a:p>
      </xdr:txBody>
    </xdr:sp>
    <xdr:clientData/>
  </xdr:twoCellAnchor>
  <xdr:twoCellAnchor>
    <xdr:from>
      <xdr:col>7</xdr:col>
      <xdr:colOff>428625</xdr:colOff>
      <xdr:row>36</xdr:row>
      <xdr:rowOff>47625</xdr:rowOff>
    </xdr:from>
    <xdr:to>
      <xdr:col>7</xdr:col>
      <xdr:colOff>619125</xdr:colOff>
      <xdr:row>37</xdr:row>
      <xdr:rowOff>47625</xdr:rowOff>
    </xdr:to>
    <xdr:sp macro="" textlink="">
      <xdr:nvSpPr>
        <xdr:cNvPr id="17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7</xdr:col>
      <xdr:colOff>257175</xdr:colOff>
      <xdr:row>40</xdr:row>
      <xdr:rowOff>123825</xdr:rowOff>
    </xdr:from>
    <xdr:to>
      <xdr:col>7</xdr:col>
      <xdr:colOff>485775</xdr:colOff>
      <xdr:row>41</xdr:row>
      <xdr:rowOff>152400</xdr:rowOff>
    </xdr:to>
    <xdr:sp macro="" textlink="">
      <xdr:nvSpPr>
        <xdr:cNvPr id="18" name="テキスト 11"/>
        <xdr:cNvSpPr txBox="1">
          <a:spLocks noChangeArrowheads="1"/>
        </xdr:cNvSpPr>
      </xdr:nvSpPr>
      <xdr:spPr bwMode="auto">
        <a:xfrm>
          <a:off x="5057775" y="3552825"/>
          <a:ext cx="2286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Dc</a:t>
          </a:r>
        </a:p>
      </xdr:txBody>
    </xdr:sp>
    <xdr:clientData/>
  </xdr:twoCellAnchor>
  <xdr:twoCellAnchor>
    <xdr:from>
      <xdr:col>14</xdr:col>
      <xdr:colOff>152400</xdr:colOff>
      <xdr:row>34</xdr:row>
      <xdr:rowOff>38100</xdr:rowOff>
    </xdr:from>
    <xdr:to>
      <xdr:col>18</xdr:col>
      <xdr:colOff>571500</xdr:colOff>
      <xdr:row>42</xdr:row>
      <xdr:rowOff>114300</xdr:rowOff>
    </xdr:to>
    <xdr:sp macro="" textlink="">
      <xdr:nvSpPr>
        <xdr:cNvPr id="27" name="テキスト 3"/>
        <xdr:cNvSpPr txBox="1">
          <a:spLocks noChangeArrowheads="1"/>
        </xdr:cNvSpPr>
      </xdr:nvSpPr>
      <xdr:spPr bwMode="auto">
        <a:xfrm>
          <a:off x="2895600" y="2438400"/>
          <a:ext cx="3162300" cy="144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Vo' = Vo*np/ns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 = √((2*Vo*Io)/(Lp*fsw))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 =  Lp*Ip*fsw/Vin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 = Lp*Ip*fsw/Vo'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Imean = Ip/2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Ip(rms) = Ip*√(D1/3)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647700</xdr:colOff>
      <xdr:row>37</xdr:row>
      <xdr:rowOff>76200</xdr:rowOff>
    </xdr:from>
    <xdr:to>
      <xdr:col>18</xdr:col>
      <xdr:colOff>495300</xdr:colOff>
      <xdr:row>40</xdr:row>
      <xdr:rowOff>123825</xdr:rowOff>
    </xdr:to>
    <xdr:sp macro="" textlink="">
      <xdr:nvSpPr>
        <xdr:cNvPr id="29" name="図形 4"/>
        <xdr:cNvSpPr>
          <a:spLocks/>
        </xdr:cNvSpPr>
      </xdr:nvSpPr>
      <xdr:spPr bwMode="auto">
        <a:xfrm>
          <a:off x="4762500" y="2990850"/>
          <a:ext cx="1219200" cy="561975"/>
        </a:xfrm>
        <a:custGeom>
          <a:avLst/>
          <a:gdLst>
            <a:gd name="T0" fmla="*/ 0 w 16384"/>
            <a:gd name="T1" fmla="*/ 16028 h 16384"/>
            <a:gd name="T2" fmla="*/ 1877 w 16384"/>
            <a:gd name="T3" fmla="*/ 16028 h 16384"/>
            <a:gd name="T4" fmla="*/ 1877 w 16384"/>
            <a:gd name="T5" fmla="*/ 16384 h 16384"/>
            <a:gd name="T6" fmla="*/ 8021 w 16384"/>
            <a:gd name="T7" fmla="*/ 0 h 16384"/>
            <a:gd name="T8" fmla="*/ 8021 w 16384"/>
            <a:gd name="T9" fmla="*/ 16028 h 16384"/>
            <a:gd name="T10" fmla="*/ 15019 w 16384"/>
            <a:gd name="T11" fmla="*/ 16028 h 16384"/>
            <a:gd name="T12" fmla="*/ 16384 w 16384"/>
            <a:gd name="T13" fmla="*/ 4986 h 16384"/>
            <a:gd name="T14" fmla="*/ 15872 w 16384"/>
            <a:gd name="T15" fmla="*/ 5343 h 16384"/>
            <a:gd name="T16" fmla="*/ 15872 w 16384"/>
            <a:gd name="T17" fmla="*/ 5699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</a:cxnLst>
          <a:rect l="0" t="0" r="r" b="b"/>
          <a:pathLst>
            <a:path w="16384" h="16384">
              <a:moveTo>
                <a:pt x="0" y="16028"/>
              </a:moveTo>
              <a:lnTo>
                <a:pt x="1877" y="16028"/>
              </a:lnTo>
              <a:lnTo>
                <a:pt x="1877" y="16384"/>
              </a:lnTo>
              <a:lnTo>
                <a:pt x="8021" y="0"/>
              </a:lnTo>
              <a:lnTo>
                <a:pt x="8021" y="16028"/>
              </a:lnTo>
              <a:lnTo>
                <a:pt x="15019" y="16028"/>
              </a:lnTo>
              <a:lnTo>
                <a:pt x="16384" y="4986"/>
              </a:lnTo>
              <a:lnTo>
                <a:pt x="15872" y="5343"/>
              </a:lnTo>
              <a:lnTo>
                <a:pt x="15872" y="5699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40</xdr:row>
      <xdr:rowOff>161925</xdr:rowOff>
    </xdr:from>
    <xdr:to>
      <xdr:col>18</xdr:col>
      <xdr:colOff>295275</xdr:colOff>
      <xdr:row>42</xdr:row>
      <xdr:rowOff>0</xdr:rowOff>
    </xdr:to>
    <xdr:sp macro="" textlink="">
      <xdr:nvSpPr>
        <xdr:cNvPr id="30" name="テキスト 7"/>
        <xdr:cNvSpPr txBox="1">
          <a:spLocks noChangeArrowheads="1"/>
        </xdr:cNvSpPr>
      </xdr:nvSpPr>
      <xdr:spPr bwMode="auto">
        <a:xfrm>
          <a:off x="5514975" y="3590925"/>
          <a:ext cx="2667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D2</a:t>
          </a:r>
        </a:p>
      </xdr:txBody>
    </xdr:sp>
    <xdr:clientData/>
  </xdr:twoCellAnchor>
  <xdr:twoCellAnchor>
    <xdr:from>
      <xdr:col>17</xdr:col>
      <xdr:colOff>428625</xdr:colOff>
      <xdr:row>36</xdr:row>
      <xdr:rowOff>47625</xdr:rowOff>
    </xdr:from>
    <xdr:to>
      <xdr:col>17</xdr:col>
      <xdr:colOff>619125</xdr:colOff>
      <xdr:row>37</xdr:row>
      <xdr:rowOff>47625</xdr:rowOff>
    </xdr:to>
    <xdr:sp macro="" textlink="">
      <xdr:nvSpPr>
        <xdr:cNvPr id="31" name="テキスト 9"/>
        <xdr:cNvSpPr txBox="1">
          <a:spLocks noChangeArrowheads="1"/>
        </xdr:cNvSpPr>
      </xdr:nvSpPr>
      <xdr:spPr bwMode="auto">
        <a:xfrm>
          <a:off x="5229225" y="2790825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Ip</a:t>
          </a:r>
        </a:p>
      </xdr:txBody>
    </xdr:sp>
    <xdr:clientData/>
  </xdr:twoCellAnchor>
  <xdr:twoCellAnchor>
    <xdr:from>
      <xdr:col>17</xdr:col>
      <xdr:colOff>219075</xdr:colOff>
      <xdr:row>40</xdr:row>
      <xdr:rowOff>142875</xdr:rowOff>
    </xdr:from>
    <xdr:to>
      <xdr:col>17</xdr:col>
      <xdr:colOff>447675</xdr:colOff>
      <xdr:row>41</xdr:row>
      <xdr:rowOff>161925</xdr:rowOff>
    </xdr:to>
    <xdr:sp macro="" textlink="">
      <xdr:nvSpPr>
        <xdr:cNvPr id="32" name="テキスト 11"/>
        <xdr:cNvSpPr txBox="1">
          <a:spLocks noChangeArrowheads="1"/>
        </xdr:cNvSpPr>
      </xdr:nvSpPr>
      <xdr:spPr bwMode="auto">
        <a:xfrm>
          <a:off x="5019675" y="3571875"/>
          <a:ext cx="2286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D1</a:t>
          </a:r>
        </a:p>
      </xdr:txBody>
    </xdr:sp>
    <xdr:clientData/>
  </xdr:twoCellAnchor>
  <xdr:twoCellAnchor>
    <xdr:from>
      <xdr:col>17</xdr:col>
      <xdr:colOff>571500</xdr:colOff>
      <xdr:row>37</xdr:row>
      <xdr:rowOff>85725</xdr:rowOff>
    </xdr:from>
    <xdr:to>
      <xdr:col>18</xdr:col>
      <xdr:colOff>333375</xdr:colOff>
      <xdr:row>40</xdr:row>
      <xdr:rowOff>142875</xdr:rowOff>
    </xdr:to>
    <xdr:sp macro="" textlink="">
      <xdr:nvSpPr>
        <xdr:cNvPr id="33" name="図形 13"/>
        <xdr:cNvSpPr>
          <a:spLocks/>
        </xdr:cNvSpPr>
      </xdr:nvSpPr>
      <xdr:spPr bwMode="auto">
        <a:xfrm>
          <a:off x="5372100" y="3000375"/>
          <a:ext cx="447675" cy="571500"/>
        </a:xfrm>
        <a:custGeom>
          <a:avLst/>
          <a:gdLst>
            <a:gd name="T0" fmla="*/ 0 w 16384"/>
            <a:gd name="T1" fmla="*/ 0 h 16384"/>
            <a:gd name="T2" fmla="*/ 16384 w 16384"/>
            <a:gd name="T3" fmla="*/ 16384 h 16384"/>
            <a:gd name="T4" fmla="*/ 15916 w 16384"/>
            <a:gd name="T5" fmla="*/ 16028 h 16384"/>
            <a:gd name="T6" fmla="*/ 15448 w 16384"/>
            <a:gd name="T7" fmla="*/ 15672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16384" y="16384"/>
              </a:lnTo>
              <a:lnTo>
                <a:pt x="15916" y="16028"/>
              </a:lnTo>
              <a:lnTo>
                <a:pt x="15448" y="1567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43</xdr:row>
      <xdr:rowOff>0</xdr:rowOff>
    </xdr:from>
    <xdr:to>
      <xdr:col>18</xdr:col>
      <xdr:colOff>381000</xdr:colOff>
      <xdr:row>64</xdr:row>
      <xdr:rowOff>0</xdr:rowOff>
    </xdr:to>
    <xdr:graphicFrame macro="">
      <xdr:nvGraphicFramePr>
        <xdr:cNvPr id="34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M97"/>
  <sheetViews>
    <sheetView tabSelected="1" zoomScaleNormal="100" workbookViewId="0">
      <selection activeCell="G14" sqref="G14"/>
    </sheetView>
  </sheetViews>
  <sheetFormatPr defaultRowHeight="14.25"/>
  <cols>
    <col min="1" max="1" width="1.875" style="23" customWidth="1"/>
    <col min="2" max="2" width="4.5" style="23" customWidth="1"/>
    <col min="3" max="3" width="16" style="23" customWidth="1"/>
    <col min="4" max="4" width="9" style="23"/>
    <col min="5" max="5" width="28.5" style="23" customWidth="1"/>
    <col min="6" max="6" width="11" style="25" customWidth="1"/>
    <col min="7" max="7" width="11.75" style="23" customWidth="1"/>
    <col min="8" max="8" width="14.625" style="25" customWidth="1"/>
    <col min="9" max="9" width="3.625" style="23" customWidth="1"/>
    <col min="10" max="10" width="8.375" style="23" customWidth="1"/>
    <col min="11" max="11" width="15.875" style="23" customWidth="1"/>
    <col min="12" max="12" width="13.875" style="23" customWidth="1"/>
    <col min="13" max="13" width="8.625" style="23" customWidth="1"/>
    <col min="14" max="16384" width="9" style="23"/>
  </cols>
  <sheetData>
    <row r="1" spans="2:13" ht="15">
      <c r="B1" s="22" t="s">
        <v>0</v>
      </c>
      <c r="C1" s="22"/>
      <c r="F1" s="24"/>
      <c r="G1" s="24"/>
    </row>
    <row r="2" spans="2:13" ht="15" thickBot="1">
      <c r="G2" s="26" t="s">
        <v>4</v>
      </c>
    </row>
    <row r="3" spans="2:13" ht="15" thickBot="1">
      <c r="B3" s="118" t="s">
        <v>81</v>
      </c>
      <c r="C3" s="119"/>
      <c r="D3" s="27"/>
      <c r="G3" s="28" t="s">
        <v>5</v>
      </c>
      <c r="J3" s="23" t="s">
        <v>86</v>
      </c>
    </row>
    <row r="4" spans="2:13" ht="15" thickBot="1">
      <c r="B4" s="29" t="s">
        <v>82</v>
      </c>
      <c r="C4" s="123" t="s">
        <v>84</v>
      </c>
      <c r="D4" s="124"/>
      <c r="E4" s="162" t="s">
        <v>3</v>
      </c>
      <c r="F4" s="163"/>
      <c r="G4" s="30" t="s">
        <v>7</v>
      </c>
      <c r="H4" s="31" t="s">
        <v>8</v>
      </c>
      <c r="J4" s="123" t="s">
        <v>85</v>
      </c>
      <c r="K4" s="149"/>
      <c r="L4" s="32" t="s">
        <v>7</v>
      </c>
      <c r="M4" s="33" t="s">
        <v>8</v>
      </c>
    </row>
    <row r="5" spans="2:13" ht="17.25" thickTop="1">
      <c r="B5" s="142">
        <v>1</v>
      </c>
      <c r="C5" s="169" t="s">
        <v>35</v>
      </c>
      <c r="D5" s="166" t="s">
        <v>11</v>
      </c>
      <c r="E5" s="34" t="s">
        <v>12</v>
      </c>
      <c r="F5" s="35" t="s">
        <v>6</v>
      </c>
      <c r="G5" s="36">
        <v>19</v>
      </c>
      <c r="H5" s="35" t="s">
        <v>9</v>
      </c>
      <c r="J5" s="37" t="s">
        <v>1</v>
      </c>
      <c r="K5" s="38" t="s">
        <v>87</v>
      </c>
      <c r="L5" s="39">
        <v>98</v>
      </c>
      <c r="M5" s="40" t="s">
        <v>73</v>
      </c>
    </row>
    <row r="6" spans="2:13">
      <c r="B6" s="121"/>
      <c r="C6" s="170"/>
      <c r="D6" s="167"/>
      <c r="E6" s="41" t="s">
        <v>266</v>
      </c>
      <c r="F6" s="42" t="s">
        <v>10</v>
      </c>
      <c r="G6" s="43">
        <v>3.4</v>
      </c>
      <c r="H6" s="42" t="s">
        <v>13</v>
      </c>
      <c r="J6" s="44" t="s">
        <v>2</v>
      </c>
      <c r="K6" s="45" t="s">
        <v>88</v>
      </c>
      <c r="L6" s="46">
        <v>44</v>
      </c>
      <c r="M6" s="47" t="s">
        <v>96</v>
      </c>
    </row>
    <row r="7" spans="2:13">
      <c r="B7" s="121"/>
      <c r="C7" s="170"/>
      <c r="D7" s="167"/>
      <c r="E7" s="41" t="s">
        <v>115</v>
      </c>
      <c r="F7" s="42" t="s">
        <v>116</v>
      </c>
      <c r="G7" s="43">
        <v>5</v>
      </c>
      <c r="H7" s="42" t="s">
        <v>117</v>
      </c>
      <c r="J7" s="44" t="s">
        <v>25</v>
      </c>
      <c r="K7" s="45" t="s">
        <v>90</v>
      </c>
      <c r="L7" s="48">
        <v>3000</v>
      </c>
      <c r="M7" s="49"/>
    </row>
    <row r="8" spans="2:13" ht="15" thickBot="1">
      <c r="B8" s="121"/>
      <c r="C8" s="170"/>
      <c r="D8" s="167"/>
      <c r="E8" s="50" t="s">
        <v>265</v>
      </c>
      <c r="F8" s="42" t="s">
        <v>37</v>
      </c>
      <c r="G8" s="51">
        <f>G5*G6</f>
        <v>64.599999999999994</v>
      </c>
      <c r="H8" s="42" t="s">
        <v>38</v>
      </c>
      <c r="J8" s="52" t="s">
        <v>24</v>
      </c>
      <c r="K8" s="53" t="s">
        <v>89</v>
      </c>
      <c r="L8" s="54">
        <f>4*PI()*0.0000001</f>
        <v>1.2566370614359173E-6</v>
      </c>
      <c r="M8" s="55"/>
    </row>
    <row r="9" spans="2:13">
      <c r="B9" s="121"/>
      <c r="C9" s="170"/>
      <c r="D9" s="167"/>
      <c r="E9" s="50" t="s">
        <v>118</v>
      </c>
      <c r="F9" s="42" t="s">
        <v>119</v>
      </c>
      <c r="G9" s="51">
        <f>G5*G7</f>
        <v>95</v>
      </c>
      <c r="H9" s="42" t="s">
        <v>120</v>
      </c>
    </row>
    <row r="10" spans="2:13">
      <c r="B10" s="121"/>
      <c r="C10" s="170"/>
      <c r="D10" s="167"/>
      <c r="E10" s="50" t="s">
        <v>14</v>
      </c>
      <c r="F10" s="42" t="s">
        <v>15</v>
      </c>
      <c r="G10" s="43">
        <v>90</v>
      </c>
      <c r="H10" s="42" t="s">
        <v>16</v>
      </c>
    </row>
    <row r="11" spans="2:13">
      <c r="B11" s="121"/>
      <c r="C11" s="170"/>
      <c r="D11" s="167"/>
      <c r="E11" s="56" t="s">
        <v>17</v>
      </c>
      <c r="F11" s="42" t="s">
        <v>18</v>
      </c>
      <c r="G11" s="43">
        <v>264</v>
      </c>
      <c r="H11" s="42" t="s">
        <v>16</v>
      </c>
      <c r="J11" s="57"/>
      <c r="K11" s="58"/>
      <c r="L11" s="59"/>
      <c r="M11" s="59"/>
    </row>
    <row r="12" spans="2:13">
      <c r="B12" s="121"/>
      <c r="C12" s="170"/>
      <c r="D12" s="167"/>
      <c r="E12" s="50" t="s">
        <v>91</v>
      </c>
      <c r="F12" s="42" t="s">
        <v>93</v>
      </c>
      <c r="G12" s="43">
        <v>47</v>
      </c>
      <c r="H12" s="42" t="s">
        <v>92</v>
      </c>
    </row>
    <row r="13" spans="2:13">
      <c r="B13" s="121"/>
      <c r="C13" s="170"/>
      <c r="D13" s="167"/>
      <c r="E13" s="50" t="s">
        <v>121</v>
      </c>
      <c r="F13" s="42" t="s">
        <v>39</v>
      </c>
      <c r="G13" s="60">
        <f>(4*G19)/(9*SQRT(2)*G12*G23*G10)*1000000</f>
        <v>44.439675514550153</v>
      </c>
      <c r="H13" s="42" t="s">
        <v>40</v>
      </c>
      <c r="J13" s="57"/>
      <c r="K13" s="58"/>
      <c r="L13" s="59"/>
      <c r="M13" s="59"/>
    </row>
    <row r="14" spans="2:13">
      <c r="B14" s="121"/>
      <c r="C14" s="170"/>
      <c r="D14" s="167"/>
      <c r="E14" s="50" t="s">
        <v>122</v>
      </c>
      <c r="F14" s="42" t="s">
        <v>123</v>
      </c>
      <c r="G14" s="60">
        <f>(4*G20)/(9*SQRT(2)*G12*G23*G10)*1000000</f>
        <v>65.35246399198553</v>
      </c>
      <c r="H14" s="42" t="s">
        <v>114</v>
      </c>
    </row>
    <row r="15" spans="2:13">
      <c r="B15" s="121"/>
      <c r="C15" s="170"/>
      <c r="D15" s="167"/>
      <c r="E15" s="56" t="s">
        <v>133</v>
      </c>
      <c r="F15" s="42" t="s">
        <v>41</v>
      </c>
      <c r="G15" s="60">
        <f>SQRT(2)*G10-G13</f>
        <v>82.839545099028413</v>
      </c>
      <c r="H15" s="42" t="s">
        <v>9</v>
      </c>
    </row>
    <row r="16" spans="2:13">
      <c r="B16" s="121"/>
      <c r="C16" s="170"/>
      <c r="D16" s="167"/>
      <c r="E16" s="50" t="s">
        <v>134</v>
      </c>
      <c r="F16" s="42" t="s">
        <v>135</v>
      </c>
      <c r="G16" s="60">
        <f>SQRT(2)*G10-G14</f>
        <v>61.926756621593029</v>
      </c>
      <c r="H16" s="42" t="s">
        <v>136</v>
      </c>
    </row>
    <row r="17" spans="2:13">
      <c r="B17" s="121"/>
      <c r="C17" s="170"/>
      <c r="D17" s="167"/>
      <c r="E17" s="56" t="s">
        <v>44</v>
      </c>
      <c r="F17" s="42" t="s">
        <v>45</v>
      </c>
      <c r="G17" s="60">
        <f>SQRT(2)*G11</f>
        <v>373.3523804664971</v>
      </c>
      <c r="H17" s="42" t="s">
        <v>46</v>
      </c>
    </row>
    <row r="18" spans="2:13">
      <c r="B18" s="121"/>
      <c r="C18" s="170"/>
      <c r="D18" s="167"/>
      <c r="E18" s="56" t="s">
        <v>280</v>
      </c>
      <c r="F18" s="42" t="s">
        <v>19</v>
      </c>
      <c r="G18" s="43">
        <v>90</v>
      </c>
      <c r="H18" s="42" t="s">
        <v>20</v>
      </c>
    </row>
    <row r="19" spans="2:13">
      <c r="B19" s="121"/>
      <c r="C19" s="170"/>
      <c r="D19" s="167"/>
      <c r="E19" s="50" t="s">
        <v>124</v>
      </c>
      <c r="F19" s="42" t="s">
        <v>66</v>
      </c>
      <c r="G19" s="61">
        <f>G8/(G18/100)</f>
        <v>71.777777777777771</v>
      </c>
      <c r="H19" s="42" t="s">
        <v>38</v>
      </c>
      <c r="J19" s="62"/>
      <c r="K19" s="62"/>
      <c r="L19" s="62"/>
      <c r="M19" s="62"/>
    </row>
    <row r="20" spans="2:13">
      <c r="B20" s="121"/>
      <c r="C20" s="170"/>
      <c r="D20" s="167"/>
      <c r="E20" s="50" t="s">
        <v>125</v>
      </c>
      <c r="F20" s="42" t="s">
        <v>126</v>
      </c>
      <c r="G20" s="60">
        <f>G9/(G18/100)</f>
        <v>105.55555555555556</v>
      </c>
      <c r="H20" s="42" t="s">
        <v>127</v>
      </c>
      <c r="J20" s="62"/>
      <c r="K20" s="62"/>
      <c r="L20" s="62"/>
      <c r="M20" s="62"/>
    </row>
    <row r="21" spans="2:13">
      <c r="B21" s="121"/>
      <c r="C21" s="170"/>
      <c r="D21" s="167"/>
      <c r="E21" s="56" t="s">
        <v>21</v>
      </c>
      <c r="F21" s="42" t="s">
        <v>22</v>
      </c>
      <c r="G21" s="43">
        <v>65</v>
      </c>
      <c r="H21" s="42" t="s">
        <v>23</v>
      </c>
      <c r="J21" s="62"/>
      <c r="K21" s="62"/>
      <c r="L21" s="62"/>
      <c r="M21" s="62"/>
    </row>
    <row r="22" spans="2:13">
      <c r="B22" s="121"/>
      <c r="C22" s="170"/>
      <c r="D22" s="168"/>
      <c r="E22" s="50" t="s">
        <v>42</v>
      </c>
      <c r="F22" s="42" t="s">
        <v>32</v>
      </c>
      <c r="G22" s="61">
        <f>1/G21*1000</f>
        <v>15.384615384615385</v>
      </c>
      <c r="H22" s="42" t="s">
        <v>43</v>
      </c>
      <c r="J22" s="63"/>
      <c r="K22" s="64"/>
      <c r="L22" s="62"/>
      <c r="M22" s="64"/>
    </row>
    <row r="23" spans="2:13">
      <c r="B23" s="121"/>
      <c r="C23" s="170"/>
      <c r="D23" s="125" t="s">
        <v>33</v>
      </c>
      <c r="E23" s="50" t="s">
        <v>26</v>
      </c>
      <c r="F23" s="42" t="s">
        <v>28</v>
      </c>
      <c r="G23" s="43">
        <v>120</v>
      </c>
      <c r="H23" s="42" t="s">
        <v>30</v>
      </c>
      <c r="J23" s="62"/>
      <c r="K23" s="62"/>
      <c r="L23" s="62"/>
      <c r="M23" s="62"/>
    </row>
    <row r="24" spans="2:13">
      <c r="B24" s="121"/>
      <c r="C24" s="170"/>
      <c r="D24" s="126"/>
      <c r="E24" s="56" t="s">
        <v>27</v>
      </c>
      <c r="F24" s="42" t="s">
        <v>29</v>
      </c>
      <c r="G24" s="43">
        <v>0.5</v>
      </c>
      <c r="H24" s="42" t="s">
        <v>31</v>
      </c>
    </row>
    <row r="25" spans="2:13" ht="15" thickBot="1">
      <c r="B25" s="122"/>
      <c r="C25" s="171"/>
      <c r="D25" s="127"/>
      <c r="E25" s="65" t="s">
        <v>102</v>
      </c>
      <c r="F25" s="35" t="s">
        <v>100</v>
      </c>
      <c r="G25" s="36">
        <v>0.3</v>
      </c>
      <c r="H25" s="35" t="s">
        <v>101</v>
      </c>
    </row>
    <row r="26" spans="2:13">
      <c r="B26" s="120">
        <v>2</v>
      </c>
      <c r="C26" s="128" t="s">
        <v>34</v>
      </c>
      <c r="D26" s="129"/>
      <c r="E26" s="66" t="s">
        <v>53</v>
      </c>
      <c r="F26" s="67" t="s">
        <v>54</v>
      </c>
      <c r="G26" s="68">
        <v>110</v>
      </c>
      <c r="H26" s="67" t="s">
        <v>47</v>
      </c>
    </row>
    <row r="27" spans="2:13">
      <c r="B27" s="121"/>
      <c r="C27" s="130"/>
      <c r="D27" s="131"/>
      <c r="E27" s="56" t="s">
        <v>48</v>
      </c>
      <c r="F27" s="42" t="s">
        <v>50</v>
      </c>
      <c r="G27" s="43">
        <v>30</v>
      </c>
      <c r="H27" s="42" t="s">
        <v>9</v>
      </c>
    </row>
    <row r="28" spans="2:13">
      <c r="B28" s="121"/>
      <c r="C28" s="130"/>
      <c r="D28" s="131"/>
      <c r="E28" s="56" t="s">
        <v>49</v>
      </c>
      <c r="F28" s="42" t="s">
        <v>51</v>
      </c>
      <c r="G28" s="43">
        <v>30</v>
      </c>
      <c r="H28" s="42" t="s">
        <v>52</v>
      </c>
    </row>
    <row r="29" spans="2:13">
      <c r="B29" s="121"/>
      <c r="C29" s="130"/>
      <c r="D29" s="131"/>
      <c r="E29" s="56" t="s">
        <v>55</v>
      </c>
      <c r="F29" s="42" t="s">
        <v>56</v>
      </c>
      <c r="G29" s="60">
        <f>G26+G17+G27</f>
        <v>513.35238046649715</v>
      </c>
      <c r="H29" s="42" t="s">
        <v>47</v>
      </c>
    </row>
    <row r="30" spans="2:13" ht="15" thickBot="1">
      <c r="B30" s="122"/>
      <c r="C30" s="132"/>
      <c r="D30" s="133"/>
      <c r="E30" s="69" t="s">
        <v>57</v>
      </c>
      <c r="F30" s="70" t="s">
        <v>58</v>
      </c>
      <c r="G30" s="71">
        <f>G5+(((G5+G24)/G26)*G17)+G28</f>
        <v>115.18519471906085</v>
      </c>
      <c r="H30" s="70" t="s">
        <v>9</v>
      </c>
    </row>
    <row r="31" spans="2:13" ht="15" thickBot="1">
      <c r="B31" s="72">
        <v>3</v>
      </c>
      <c r="C31" s="134" t="s">
        <v>59</v>
      </c>
      <c r="D31" s="135"/>
      <c r="E31" s="73" t="s">
        <v>60</v>
      </c>
      <c r="F31" s="74" t="s">
        <v>61</v>
      </c>
      <c r="G31" s="75">
        <f>G26/(G5+G24)</f>
        <v>5.6410256410256414</v>
      </c>
      <c r="H31" s="74"/>
    </row>
    <row r="32" spans="2:13">
      <c r="B32" s="120">
        <v>4</v>
      </c>
      <c r="C32" s="143" t="s">
        <v>253</v>
      </c>
      <c r="D32" s="144"/>
      <c r="E32" s="164" t="s">
        <v>128</v>
      </c>
      <c r="F32" s="67" t="s">
        <v>132</v>
      </c>
      <c r="G32" s="76">
        <v>100</v>
      </c>
      <c r="H32" s="67" t="s">
        <v>129</v>
      </c>
    </row>
    <row r="33" spans="2:9">
      <c r="B33" s="121"/>
      <c r="C33" s="145"/>
      <c r="D33" s="146"/>
      <c r="E33" s="165"/>
      <c r="F33" s="42" t="s">
        <v>141</v>
      </c>
      <c r="G33" s="77">
        <f>SQRT(2)*G32</f>
        <v>141.42135623730951</v>
      </c>
      <c r="H33" s="42" t="s">
        <v>142</v>
      </c>
    </row>
    <row r="34" spans="2:9">
      <c r="B34" s="121"/>
      <c r="C34" s="145"/>
      <c r="D34" s="146"/>
      <c r="E34" s="50" t="s">
        <v>130</v>
      </c>
      <c r="F34" s="42" t="s">
        <v>140</v>
      </c>
      <c r="G34" s="78">
        <v>3.4</v>
      </c>
      <c r="H34" s="42" t="s">
        <v>131</v>
      </c>
    </row>
    <row r="35" spans="2:9">
      <c r="B35" s="121"/>
      <c r="C35" s="145"/>
      <c r="D35" s="146"/>
      <c r="E35" s="50" t="s">
        <v>143</v>
      </c>
      <c r="F35" s="42" t="s">
        <v>145</v>
      </c>
      <c r="G35" s="79">
        <f>G34*G5</f>
        <v>64.599999999999994</v>
      </c>
      <c r="H35" s="42" t="s">
        <v>147</v>
      </c>
    </row>
    <row r="36" spans="2:9" ht="15" thickBot="1">
      <c r="B36" s="122"/>
      <c r="C36" s="147"/>
      <c r="D36" s="148"/>
      <c r="E36" s="80" t="s">
        <v>144</v>
      </c>
      <c r="F36" s="70" t="s">
        <v>146</v>
      </c>
      <c r="G36" s="81">
        <f>G35/G18*100</f>
        <v>71.777777777777771</v>
      </c>
      <c r="H36" s="70" t="s">
        <v>147</v>
      </c>
    </row>
    <row r="37" spans="2:9">
      <c r="B37" s="120">
        <v>5</v>
      </c>
      <c r="C37" s="128" t="s">
        <v>137</v>
      </c>
      <c r="D37" s="129"/>
      <c r="E37" s="82" t="s">
        <v>149</v>
      </c>
      <c r="F37" s="67" t="s">
        <v>138</v>
      </c>
      <c r="G37" s="83">
        <f>G26/(G33+G26)</f>
        <v>0.43751255520304372</v>
      </c>
      <c r="H37" s="67"/>
      <c r="I37" s="84"/>
    </row>
    <row r="38" spans="2:9">
      <c r="B38" s="121"/>
      <c r="C38" s="130"/>
      <c r="D38" s="131"/>
      <c r="E38" s="56" t="s">
        <v>150</v>
      </c>
      <c r="F38" s="42" t="s">
        <v>139</v>
      </c>
      <c r="G38" s="61">
        <f>G37/G21*1000</f>
        <v>6.730962387739134</v>
      </c>
      <c r="H38" s="42" t="s">
        <v>43</v>
      </c>
    </row>
    <row r="39" spans="2:9">
      <c r="B39" s="121"/>
      <c r="C39" s="130"/>
      <c r="D39" s="131"/>
      <c r="E39" s="161" t="s">
        <v>63</v>
      </c>
      <c r="F39" s="160" t="s">
        <v>64</v>
      </c>
      <c r="G39" s="60">
        <f>(G33^2*G38^2*G21)/((2*G36)*1000)</f>
        <v>410.27747645693444</v>
      </c>
      <c r="H39" s="42" t="s">
        <v>67</v>
      </c>
    </row>
    <row r="40" spans="2:9">
      <c r="B40" s="121"/>
      <c r="C40" s="130"/>
      <c r="D40" s="131"/>
      <c r="E40" s="154"/>
      <c r="F40" s="151"/>
      <c r="G40" s="158" t="s">
        <v>225</v>
      </c>
      <c r="H40" s="159"/>
    </row>
    <row r="41" spans="2:9" ht="15" thickBot="1">
      <c r="B41" s="122"/>
      <c r="C41" s="132"/>
      <c r="D41" s="133"/>
      <c r="E41" s="155"/>
      <c r="F41" s="152"/>
      <c r="G41" s="85">
        <v>410</v>
      </c>
      <c r="H41" s="70" t="s">
        <v>94</v>
      </c>
    </row>
    <row r="42" spans="2:9">
      <c r="B42" s="120">
        <v>6</v>
      </c>
      <c r="C42" s="138" t="s">
        <v>156</v>
      </c>
      <c r="D42" s="139"/>
      <c r="E42" s="86" t="s">
        <v>151</v>
      </c>
      <c r="F42" s="67" t="s">
        <v>62</v>
      </c>
      <c r="G42" s="87">
        <f>G26/(G16+G26)</f>
        <v>0.63980733517882593</v>
      </c>
      <c r="H42" s="67"/>
    </row>
    <row r="43" spans="2:9">
      <c r="B43" s="121"/>
      <c r="C43" s="130"/>
      <c r="D43" s="140"/>
      <c r="E43" s="88" t="s">
        <v>152</v>
      </c>
      <c r="F43" s="42" t="s">
        <v>65</v>
      </c>
      <c r="G43" s="89">
        <f>G42/G21*1000</f>
        <v>9.8431897719819368</v>
      </c>
      <c r="H43" s="42" t="s">
        <v>153</v>
      </c>
    </row>
    <row r="44" spans="2:9" ht="15" thickBot="1">
      <c r="B44" s="122"/>
      <c r="C44" s="132"/>
      <c r="D44" s="141"/>
      <c r="E44" s="54" t="s">
        <v>250</v>
      </c>
      <c r="F44" s="70" t="s">
        <v>154</v>
      </c>
      <c r="G44" s="90">
        <f>((G41/((G16^2*G43^2*G21)/(2*G20)/1000))-1)/((G41/((G16^2*G43^2*G21)/(2*G20)/1000))+1)</f>
        <v>0.56368820438874156</v>
      </c>
      <c r="H44" s="55"/>
    </row>
    <row r="45" spans="2:9" ht="15" thickBot="1">
      <c r="B45" s="72">
        <v>7</v>
      </c>
      <c r="C45" s="136" t="s">
        <v>148</v>
      </c>
      <c r="D45" s="137"/>
      <c r="E45" s="73" t="s">
        <v>112</v>
      </c>
      <c r="F45" s="74" t="s">
        <v>68</v>
      </c>
      <c r="G45" s="91">
        <f>G16*G43/((1-G44)*G41)</f>
        <v>3.4074805215156396</v>
      </c>
      <c r="H45" s="74" t="s">
        <v>69</v>
      </c>
    </row>
    <row r="46" spans="2:9">
      <c r="B46" s="120">
        <v>8</v>
      </c>
      <c r="C46" s="128" t="s">
        <v>70</v>
      </c>
      <c r="D46" s="129"/>
      <c r="E46" s="153" t="s">
        <v>71</v>
      </c>
      <c r="F46" s="150" t="s">
        <v>72</v>
      </c>
      <c r="G46" s="92">
        <f>(G41*G45)/(G31*G25*L5)</f>
        <v>8.4238734599621345</v>
      </c>
      <c r="H46" s="67" t="s">
        <v>95</v>
      </c>
    </row>
    <row r="47" spans="2:9">
      <c r="B47" s="121"/>
      <c r="C47" s="130"/>
      <c r="D47" s="131"/>
      <c r="E47" s="154"/>
      <c r="F47" s="151"/>
      <c r="G47" s="156" t="s">
        <v>226</v>
      </c>
      <c r="H47" s="157"/>
      <c r="I47" s="84"/>
    </row>
    <row r="48" spans="2:9" ht="15" thickBot="1">
      <c r="B48" s="122"/>
      <c r="C48" s="132"/>
      <c r="D48" s="133"/>
      <c r="E48" s="155"/>
      <c r="F48" s="152"/>
      <c r="G48" s="93">
        <v>9</v>
      </c>
      <c r="H48" s="70" t="s">
        <v>95</v>
      </c>
    </row>
    <row r="49" spans="2:9">
      <c r="B49" s="120">
        <v>9</v>
      </c>
      <c r="C49" s="128" t="s">
        <v>74</v>
      </c>
      <c r="D49" s="129"/>
      <c r="E49" s="153" t="s">
        <v>75</v>
      </c>
      <c r="F49" s="150" t="s">
        <v>76</v>
      </c>
      <c r="G49" s="94">
        <f>G31*G48</f>
        <v>50.769230769230774</v>
      </c>
      <c r="H49" s="67" t="s">
        <v>95</v>
      </c>
    </row>
    <row r="50" spans="2:9">
      <c r="B50" s="121"/>
      <c r="C50" s="130"/>
      <c r="D50" s="131"/>
      <c r="E50" s="154"/>
      <c r="F50" s="151"/>
      <c r="G50" s="158" t="s">
        <v>226</v>
      </c>
      <c r="H50" s="159"/>
    </row>
    <row r="51" spans="2:9">
      <c r="B51" s="121"/>
      <c r="C51" s="130"/>
      <c r="D51" s="131"/>
      <c r="E51" s="154"/>
      <c r="F51" s="151"/>
      <c r="G51" s="95">
        <v>51</v>
      </c>
      <c r="H51" s="42" t="s">
        <v>95</v>
      </c>
    </row>
    <row r="52" spans="2:9" ht="15" thickBot="1">
      <c r="B52" s="122"/>
      <c r="C52" s="132"/>
      <c r="D52" s="133"/>
      <c r="E52" s="96" t="s">
        <v>281</v>
      </c>
      <c r="F52" s="70" t="s">
        <v>282</v>
      </c>
      <c r="G52" s="97">
        <f>G51/G48</f>
        <v>5.666666666666667</v>
      </c>
      <c r="H52" s="70"/>
    </row>
    <row r="53" spans="2:9">
      <c r="B53" s="120">
        <v>10</v>
      </c>
      <c r="C53" s="128" t="s">
        <v>255</v>
      </c>
      <c r="D53" s="129"/>
      <c r="E53" s="86" t="s">
        <v>256</v>
      </c>
      <c r="F53" s="67" t="s">
        <v>257</v>
      </c>
      <c r="G53" s="68">
        <v>22</v>
      </c>
      <c r="H53" s="67" t="s">
        <v>258</v>
      </c>
    </row>
    <row r="54" spans="2:9">
      <c r="B54" s="121"/>
      <c r="C54" s="130"/>
      <c r="D54" s="131"/>
      <c r="E54" s="161" t="s">
        <v>260</v>
      </c>
      <c r="F54" s="160" t="s">
        <v>259</v>
      </c>
      <c r="G54" s="60">
        <f>G53/(G5+G24)*G48</f>
        <v>10.153846153846153</v>
      </c>
      <c r="H54" s="42" t="s">
        <v>261</v>
      </c>
    </row>
    <row r="55" spans="2:9">
      <c r="B55" s="121"/>
      <c r="C55" s="130"/>
      <c r="D55" s="131"/>
      <c r="E55" s="154"/>
      <c r="F55" s="151"/>
      <c r="G55" s="98"/>
      <c r="H55" s="42"/>
    </row>
    <row r="56" spans="2:9" ht="15" thickBot="1">
      <c r="B56" s="122"/>
      <c r="C56" s="132"/>
      <c r="D56" s="133"/>
      <c r="E56" s="155"/>
      <c r="F56" s="152"/>
      <c r="G56" s="93">
        <v>11</v>
      </c>
      <c r="H56" s="70" t="s">
        <v>262</v>
      </c>
    </row>
    <row r="57" spans="2:9" ht="15" thickBot="1">
      <c r="B57" s="99">
        <v>11</v>
      </c>
      <c r="C57" s="172" t="s">
        <v>77</v>
      </c>
      <c r="D57" s="173"/>
      <c r="E57" s="86" t="s">
        <v>79</v>
      </c>
      <c r="F57" s="67" t="s">
        <v>78</v>
      </c>
      <c r="G57" s="100">
        <f>(((L8*G51^2*L5)/G41)*1000)-(L6/L7)</f>
        <v>0.76658765939648554</v>
      </c>
      <c r="H57" s="67" t="s">
        <v>83</v>
      </c>
    </row>
    <row r="58" spans="2:9">
      <c r="B58" s="120">
        <v>12</v>
      </c>
      <c r="C58" s="143" t="s">
        <v>80</v>
      </c>
      <c r="D58" s="144"/>
      <c r="E58" s="66" t="s">
        <v>113</v>
      </c>
      <c r="F58" s="67" t="s">
        <v>111</v>
      </c>
      <c r="G58" s="101">
        <f>(L8*G51*G45)/((L6/L7/1000)+G57/1000)</f>
        <v>0.27952521284942228</v>
      </c>
      <c r="H58" s="67" t="s">
        <v>97</v>
      </c>
    </row>
    <row r="59" spans="2:9" ht="15" thickBot="1">
      <c r="B59" s="122"/>
      <c r="C59" s="147"/>
      <c r="D59" s="148"/>
      <c r="E59" s="80" t="s">
        <v>53</v>
      </c>
      <c r="F59" s="70" t="s">
        <v>179</v>
      </c>
      <c r="G59" s="97">
        <f>G51*(G5+G24)/G48</f>
        <v>110.5</v>
      </c>
      <c r="H59" s="70" t="s">
        <v>180</v>
      </c>
    </row>
    <row r="60" spans="2:9">
      <c r="B60" s="120">
        <v>13</v>
      </c>
      <c r="C60" s="138" t="s">
        <v>254</v>
      </c>
      <c r="D60" s="129"/>
      <c r="E60" s="82" t="s">
        <v>157</v>
      </c>
      <c r="F60" s="67" t="s">
        <v>160</v>
      </c>
      <c r="G60" s="101">
        <f>'パラメータ入力(臨界定格出力)'!H3</f>
        <v>0.57153336087245865</v>
      </c>
      <c r="H60" s="67"/>
    </row>
    <row r="61" spans="2:9">
      <c r="B61" s="121"/>
      <c r="C61" s="130"/>
      <c r="D61" s="131"/>
      <c r="E61" s="56" t="s">
        <v>177</v>
      </c>
      <c r="F61" s="42" t="s">
        <v>158</v>
      </c>
      <c r="G61" s="102">
        <f>G60/G21*1000</f>
        <v>8.7928209364993641</v>
      </c>
      <c r="H61" s="42" t="s">
        <v>159</v>
      </c>
    </row>
    <row r="62" spans="2:9">
      <c r="B62" s="121"/>
      <c r="C62" s="130"/>
      <c r="D62" s="131"/>
      <c r="E62" s="50" t="s">
        <v>249</v>
      </c>
      <c r="F62" s="42" t="s">
        <v>154</v>
      </c>
      <c r="G62" s="102">
        <f>'パラメータ入力(臨界定格出力)'!K5</f>
        <v>0.26109439622194558</v>
      </c>
      <c r="H62" s="42"/>
    </row>
    <row r="63" spans="2:9">
      <c r="B63" s="121"/>
      <c r="C63" s="130"/>
      <c r="D63" s="131"/>
      <c r="E63" s="50" t="s">
        <v>252</v>
      </c>
      <c r="F63" s="42" t="s">
        <v>161</v>
      </c>
      <c r="G63" s="102">
        <f>'パラメータ入力(臨界定格出力)'!H2</f>
        <v>2.4043246964439979</v>
      </c>
      <c r="H63" s="42" t="s">
        <v>131</v>
      </c>
    </row>
    <row r="64" spans="2:9">
      <c r="B64" s="121"/>
      <c r="C64" s="130"/>
      <c r="D64" s="131"/>
      <c r="E64" s="50" t="s">
        <v>103</v>
      </c>
      <c r="F64" s="42" t="s">
        <v>105</v>
      </c>
      <c r="G64" s="103">
        <f>'パラメータ入力(臨界定格出力)'!K2</f>
        <v>1.209926574155334</v>
      </c>
      <c r="H64" s="42" t="s">
        <v>104</v>
      </c>
      <c r="I64" s="84"/>
    </row>
    <row r="65" spans="2:11">
      <c r="B65" s="121"/>
      <c r="C65" s="130"/>
      <c r="D65" s="131"/>
      <c r="E65" s="50" t="s">
        <v>267</v>
      </c>
      <c r="F65" s="42" t="s">
        <v>268</v>
      </c>
      <c r="G65" s="103">
        <f>'パラメータ入力(臨界定格出力)'!I69</f>
        <v>13.624506613182655</v>
      </c>
      <c r="H65" s="42" t="s">
        <v>269</v>
      </c>
      <c r="I65" s="84"/>
    </row>
    <row r="66" spans="2:11">
      <c r="B66" s="121"/>
      <c r="C66" s="130"/>
      <c r="D66" s="131"/>
      <c r="E66" s="56" t="s">
        <v>106</v>
      </c>
      <c r="F66" s="42" t="s">
        <v>107</v>
      </c>
      <c r="G66" s="103">
        <f>'パラメータ入力(臨界定格出力)'!K3</f>
        <v>5.9364169408287655</v>
      </c>
      <c r="H66" s="42" t="s">
        <v>104</v>
      </c>
      <c r="I66" s="84"/>
    </row>
    <row r="67" spans="2:11" ht="15" thickBot="1">
      <c r="B67" s="122"/>
      <c r="C67" s="132"/>
      <c r="D67" s="133"/>
      <c r="E67" s="80" t="s">
        <v>108</v>
      </c>
      <c r="F67" s="70" t="s">
        <v>109</v>
      </c>
      <c r="G67" s="104">
        <f>'パラメータ入力(臨界定格出力)'!K4</f>
        <v>4.6574601761782901</v>
      </c>
      <c r="H67" s="70" t="s">
        <v>110</v>
      </c>
      <c r="I67" s="84"/>
    </row>
    <row r="68" spans="2:11" ht="14.25" customHeight="1">
      <c r="B68" s="120">
        <v>14</v>
      </c>
      <c r="C68" s="175" t="s">
        <v>224</v>
      </c>
      <c r="D68" s="176"/>
      <c r="E68" s="66" t="s">
        <v>128</v>
      </c>
      <c r="F68" s="67" t="s">
        <v>169</v>
      </c>
      <c r="G68" s="105">
        <v>100</v>
      </c>
      <c r="H68" s="67" t="s">
        <v>164</v>
      </c>
    </row>
    <row r="69" spans="2:11">
      <c r="B69" s="121"/>
      <c r="C69" s="177"/>
      <c r="D69" s="178"/>
      <c r="E69" s="50" t="s">
        <v>130</v>
      </c>
      <c r="F69" s="42" t="s">
        <v>170</v>
      </c>
      <c r="G69" s="106">
        <v>3.4</v>
      </c>
      <c r="H69" s="42" t="s">
        <v>131</v>
      </c>
    </row>
    <row r="70" spans="2:11">
      <c r="B70" s="121"/>
      <c r="C70" s="177"/>
      <c r="D70" s="178"/>
      <c r="E70" s="56" t="s">
        <v>166</v>
      </c>
      <c r="F70" s="42" t="s">
        <v>171</v>
      </c>
      <c r="G70" s="60">
        <f>SQRT(2)*G68</f>
        <v>141.42135623730951</v>
      </c>
      <c r="H70" s="42" t="s">
        <v>167</v>
      </c>
    </row>
    <row r="71" spans="2:11">
      <c r="B71" s="121"/>
      <c r="C71" s="177"/>
      <c r="D71" s="178"/>
      <c r="E71" s="50" t="s">
        <v>162</v>
      </c>
      <c r="F71" s="42" t="s">
        <v>173</v>
      </c>
      <c r="G71" s="51">
        <f>G5*G69</f>
        <v>64.599999999999994</v>
      </c>
      <c r="H71" s="42" t="s">
        <v>147</v>
      </c>
    </row>
    <row r="72" spans="2:11">
      <c r="B72" s="121"/>
      <c r="C72" s="177"/>
      <c r="D72" s="178"/>
      <c r="E72" s="50" t="s">
        <v>163</v>
      </c>
      <c r="F72" s="42" t="s">
        <v>172</v>
      </c>
      <c r="G72" s="61">
        <f>G71/(G18/100)</f>
        <v>71.777777777777771</v>
      </c>
      <c r="H72" s="42" t="s">
        <v>147</v>
      </c>
    </row>
    <row r="73" spans="2:11">
      <c r="B73" s="121"/>
      <c r="C73" s="177"/>
      <c r="D73" s="178"/>
      <c r="E73" s="56" t="s">
        <v>165</v>
      </c>
      <c r="F73" s="42" t="s">
        <v>175</v>
      </c>
      <c r="G73" s="103">
        <f>'パラメータ入力(臨界動作状態チェック)'!H3</f>
        <v>0.43736458221691626</v>
      </c>
      <c r="H73" s="42"/>
    </row>
    <row r="74" spans="2:11">
      <c r="B74" s="121"/>
      <c r="C74" s="177"/>
      <c r="D74" s="178"/>
      <c r="E74" s="56" t="s">
        <v>178</v>
      </c>
      <c r="F74" s="42" t="s">
        <v>176</v>
      </c>
      <c r="G74" s="103">
        <f>G73/G21*1000</f>
        <v>6.7286858802602501</v>
      </c>
      <c r="H74" s="42" t="s">
        <v>168</v>
      </c>
      <c r="J74" s="84"/>
      <c r="K74" s="84"/>
    </row>
    <row r="75" spans="2:11">
      <c r="B75" s="121"/>
      <c r="C75" s="177"/>
      <c r="D75" s="178"/>
      <c r="E75" s="50" t="s">
        <v>249</v>
      </c>
      <c r="F75" s="42" t="s">
        <v>154</v>
      </c>
      <c r="G75" s="103">
        <f>'パラメータ入力(臨界動作状態チェック)'!K5</f>
        <v>0</v>
      </c>
      <c r="H75" s="42"/>
    </row>
    <row r="76" spans="2:11">
      <c r="B76" s="121"/>
      <c r="C76" s="177"/>
      <c r="D76" s="178"/>
      <c r="E76" s="50" t="s">
        <v>283</v>
      </c>
      <c r="F76" s="42" t="s">
        <v>284</v>
      </c>
      <c r="G76" s="103">
        <f>(G41*G77)/(G51*L5)</f>
        <v>0.19039213342961975</v>
      </c>
      <c r="H76" s="42" t="s">
        <v>285</v>
      </c>
    </row>
    <row r="77" spans="2:11">
      <c r="B77" s="121"/>
      <c r="C77" s="177"/>
      <c r="D77" s="178"/>
      <c r="E77" s="165" t="s">
        <v>270</v>
      </c>
      <c r="F77" s="42" t="s">
        <v>181</v>
      </c>
      <c r="G77" s="102">
        <f>'パラメータ入力(臨界動作状態チェック)'!H2</f>
        <v>2.3209265436127793</v>
      </c>
      <c r="H77" s="42" t="s">
        <v>182</v>
      </c>
    </row>
    <row r="78" spans="2:11">
      <c r="B78" s="121"/>
      <c r="C78" s="177"/>
      <c r="D78" s="178"/>
      <c r="E78" s="165"/>
      <c r="F78" s="42" t="s">
        <v>183</v>
      </c>
      <c r="G78" s="103">
        <f>'パラメータ入力(臨界動作状態チェック)'!K8</f>
        <v>0</v>
      </c>
      <c r="H78" s="42" t="s">
        <v>184</v>
      </c>
    </row>
    <row r="79" spans="2:11">
      <c r="B79" s="121"/>
      <c r="C79" s="177"/>
      <c r="D79" s="178"/>
      <c r="E79" s="50" t="s">
        <v>103</v>
      </c>
      <c r="F79" s="42" t="s">
        <v>107</v>
      </c>
      <c r="G79" s="103">
        <f>'パラメータ入力(臨界動作状態チェック)'!K2</f>
        <v>0.8861812839642017</v>
      </c>
      <c r="H79" s="42" t="s">
        <v>274</v>
      </c>
    </row>
    <row r="80" spans="2:11">
      <c r="B80" s="121"/>
      <c r="C80" s="177"/>
      <c r="D80" s="178"/>
      <c r="E80" s="174" t="s">
        <v>271</v>
      </c>
      <c r="F80" s="42" t="s">
        <v>272</v>
      </c>
      <c r="G80" s="103">
        <f>'パラメータ入力(臨界動作状態チェック)'!I69</f>
        <v>13.151917080472415</v>
      </c>
      <c r="H80" s="42" t="s">
        <v>275</v>
      </c>
    </row>
    <row r="81" spans="2:8">
      <c r="B81" s="121"/>
      <c r="C81" s="177"/>
      <c r="D81" s="178"/>
      <c r="E81" s="174"/>
      <c r="F81" s="42" t="s">
        <v>273</v>
      </c>
      <c r="G81" s="103">
        <f>'パラメータ入力(臨界動作状態チェック)'!I68</f>
        <v>0</v>
      </c>
      <c r="H81" s="42" t="s">
        <v>275</v>
      </c>
    </row>
    <row r="82" spans="2:8">
      <c r="B82" s="121"/>
      <c r="C82" s="177"/>
      <c r="D82" s="178"/>
      <c r="E82" s="56" t="s">
        <v>106</v>
      </c>
      <c r="F82" s="42" t="s">
        <v>107</v>
      </c>
      <c r="G82" s="103">
        <f>'パラメータ入力(臨界動作状態チェック)'!K3</f>
        <v>5.6810236875580067</v>
      </c>
      <c r="H82" s="42" t="s">
        <v>274</v>
      </c>
    </row>
    <row r="83" spans="2:8" ht="15" thickBot="1">
      <c r="B83" s="122"/>
      <c r="C83" s="179"/>
      <c r="D83" s="180"/>
      <c r="E83" s="80" t="s">
        <v>108</v>
      </c>
      <c r="F83" s="70" t="s">
        <v>109</v>
      </c>
      <c r="G83" s="104">
        <f>'パラメータ入力(臨界動作状態チェック)'!K4</f>
        <v>4.3272299841726829</v>
      </c>
      <c r="H83" s="70" t="s">
        <v>274</v>
      </c>
    </row>
    <row r="86" spans="2:8">
      <c r="G86" s="107"/>
      <c r="H86" s="108"/>
    </row>
    <row r="87" spans="2:8">
      <c r="G87" s="107"/>
    </row>
    <row r="90" spans="2:8">
      <c r="F90" s="23"/>
      <c r="H90" s="23"/>
    </row>
    <row r="91" spans="2:8">
      <c r="F91" s="23"/>
      <c r="H91" s="23"/>
    </row>
    <row r="92" spans="2:8">
      <c r="F92" s="23"/>
      <c r="G92" s="107"/>
      <c r="H92" s="23"/>
    </row>
    <row r="93" spans="2:8">
      <c r="F93" s="23"/>
      <c r="G93" s="107"/>
      <c r="H93" s="109"/>
    </row>
    <row r="94" spans="2:8">
      <c r="F94" s="23"/>
      <c r="G94" s="107"/>
      <c r="H94" s="109"/>
    </row>
    <row r="95" spans="2:8">
      <c r="F95" s="23"/>
      <c r="G95" s="107"/>
      <c r="H95" s="110"/>
    </row>
    <row r="96" spans="2:8">
      <c r="F96" s="23"/>
      <c r="H96" s="111"/>
    </row>
    <row r="97" spans="6:8">
      <c r="F97" s="23"/>
      <c r="H97" s="112"/>
    </row>
  </sheetData>
  <sheetProtection password="CA97" sheet="1" objects="1" scenarios="1"/>
  <mergeCells count="45">
    <mergeCell ref="E80:E81"/>
    <mergeCell ref="C68:D83"/>
    <mergeCell ref="B68:B83"/>
    <mergeCell ref="B53:B56"/>
    <mergeCell ref="C53:D56"/>
    <mergeCell ref="E77:E78"/>
    <mergeCell ref="B60:B67"/>
    <mergeCell ref="B58:B59"/>
    <mergeCell ref="C58:D59"/>
    <mergeCell ref="C60:D67"/>
    <mergeCell ref="D5:D22"/>
    <mergeCell ref="C5:C25"/>
    <mergeCell ref="F54:F56"/>
    <mergeCell ref="E54:E56"/>
    <mergeCell ref="C57:D57"/>
    <mergeCell ref="G50:H50"/>
    <mergeCell ref="F49:F51"/>
    <mergeCell ref="E49:E51"/>
    <mergeCell ref="B49:B52"/>
    <mergeCell ref="C49:D52"/>
    <mergeCell ref="J4:K4"/>
    <mergeCell ref="F46:F48"/>
    <mergeCell ref="E46:E48"/>
    <mergeCell ref="G47:H47"/>
    <mergeCell ref="G40:H40"/>
    <mergeCell ref="F39:F41"/>
    <mergeCell ref="E39:E41"/>
    <mergeCell ref="E4:F4"/>
    <mergeCell ref="E32:E33"/>
    <mergeCell ref="B3:C3"/>
    <mergeCell ref="B26:B30"/>
    <mergeCell ref="C4:D4"/>
    <mergeCell ref="D23:D25"/>
    <mergeCell ref="B46:B48"/>
    <mergeCell ref="C26:D30"/>
    <mergeCell ref="C31:D31"/>
    <mergeCell ref="C45:D45"/>
    <mergeCell ref="C46:D48"/>
    <mergeCell ref="B37:B41"/>
    <mergeCell ref="C42:D44"/>
    <mergeCell ref="B42:B44"/>
    <mergeCell ref="C37:D41"/>
    <mergeCell ref="B5:B25"/>
    <mergeCell ref="C32:D36"/>
    <mergeCell ref="B32:B36"/>
  </mergeCells>
  <phoneticPr fontId="1"/>
  <conditionalFormatting sqref="G58">
    <cfRule type="expression" dxfId="1" priority="2">
      <formula>$G$58&gt;$G$25</formula>
    </cfRule>
  </conditionalFormatting>
  <pageMargins left="0.7" right="0.7" top="0.75" bottom="0.75" header="0.3" footer="0.3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M98"/>
  <sheetViews>
    <sheetView zoomScaleNormal="100" workbookViewId="0">
      <selection activeCell="G31" sqref="G31"/>
    </sheetView>
  </sheetViews>
  <sheetFormatPr defaultRowHeight="14.25"/>
  <cols>
    <col min="1" max="1" width="1.875" style="23" customWidth="1"/>
    <col min="2" max="2" width="4.5" style="23" customWidth="1"/>
    <col min="3" max="3" width="16" style="23" customWidth="1"/>
    <col min="4" max="4" width="9" style="23"/>
    <col min="5" max="5" width="28.5" style="23" customWidth="1"/>
    <col min="6" max="6" width="11" style="25" customWidth="1"/>
    <col min="7" max="7" width="11.75" style="23" customWidth="1"/>
    <col min="8" max="8" width="14.625" style="25" customWidth="1"/>
    <col min="9" max="9" width="3.625" style="23" customWidth="1"/>
    <col min="10" max="10" width="8.375" style="23" customWidth="1"/>
    <col min="11" max="11" width="15.875" style="23" customWidth="1"/>
    <col min="12" max="12" width="13.875" style="23" customWidth="1"/>
    <col min="13" max="13" width="8.625" style="23" customWidth="1"/>
    <col min="14" max="16384" width="9" style="23"/>
  </cols>
  <sheetData>
    <row r="1" spans="2:13" ht="15">
      <c r="B1" s="22" t="s">
        <v>0</v>
      </c>
      <c r="C1" s="22"/>
      <c r="F1" s="24"/>
      <c r="G1" s="24"/>
    </row>
    <row r="2" spans="2:13" ht="15" thickBot="1">
      <c r="G2" s="26" t="s">
        <v>4</v>
      </c>
    </row>
    <row r="3" spans="2:13" ht="15" thickBot="1">
      <c r="B3" s="181" t="s">
        <v>98</v>
      </c>
      <c r="C3" s="182"/>
      <c r="D3" s="27"/>
      <c r="G3" s="28" t="s">
        <v>5</v>
      </c>
      <c r="J3" s="23" t="s">
        <v>86</v>
      </c>
    </row>
    <row r="4" spans="2:13" ht="15" thickBot="1">
      <c r="B4" s="29" t="s">
        <v>82</v>
      </c>
      <c r="C4" s="123" t="s">
        <v>84</v>
      </c>
      <c r="D4" s="124"/>
      <c r="E4" s="162" t="s">
        <v>3</v>
      </c>
      <c r="F4" s="163"/>
      <c r="G4" s="30" t="s">
        <v>7</v>
      </c>
      <c r="H4" s="31" t="s">
        <v>8</v>
      </c>
      <c r="J4" s="123" t="s">
        <v>85</v>
      </c>
      <c r="K4" s="149"/>
      <c r="L4" s="32" t="s">
        <v>7</v>
      </c>
      <c r="M4" s="33" t="s">
        <v>8</v>
      </c>
    </row>
    <row r="5" spans="2:13" ht="17.25" thickTop="1">
      <c r="B5" s="142">
        <v>1</v>
      </c>
      <c r="C5" s="169" t="s">
        <v>35</v>
      </c>
      <c r="D5" s="166" t="s">
        <v>11</v>
      </c>
      <c r="E5" s="34" t="s">
        <v>12</v>
      </c>
      <c r="F5" s="35" t="s">
        <v>6</v>
      </c>
      <c r="G5" s="36">
        <v>19</v>
      </c>
      <c r="H5" s="35" t="s">
        <v>9</v>
      </c>
      <c r="J5" s="37" t="s">
        <v>1</v>
      </c>
      <c r="K5" s="38" t="s">
        <v>87</v>
      </c>
      <c r="L5" s="39">
        <v>98</v>
      </c>
      <c r="M5" s="40" t="s">
        <v>73</v>
      </c>
    </row>
    <row r="6" spans="2:13">
      <c r="B6" s="121"/>
      <c r="C6" s="170"/>
      <c r="D6" s="167"/>
      <c r="E6" s="41" t="s">
        <v>266</v>
      </c>
      <c r="F6" s="42" t="s">
        <v>10</v>
      </c>
      <c r="G6" s="43">
        <v>3.4</v>
      </c>
      <c r="H6" s="42" t="s">
        <v>13</v>
      </c>
      <c r="J6" s="44" t="s">
        <v>2</v>
      </c>
      <c r="K6" s="45" t="s">
        <v>88</v>
      </c>
      <c r="L6" s="46">
        <v>44</v>
      </c>
      <c r="M6" s="47" t="s">
        <v>96</v>
      </c>
    </row>
    <row r="7" spans="2:13">
      <c r="B7" s="121"/>
      <c r="C7" s="170"/>
      <c r="D7" s="167"/>
      <c r="E7" s="41" t="s">
        <v>115</v>
      </c>
      <c r="F7" s="42" t="s">
        <v>116</v>
      </c>
      <c r="G7" s="43">
        <v>5</v>
      </c>
      <c r="H7" s="42" t="s">
        <v>117</v>
      </c>
      <c r="J7" s="44" t="s">
        <v>25</v>
      </c>
      <c r="K7" s="45" t="s">
        <v>90</v>
      </c>
      <c r="L7" s="48">
        <v>3000</v>
      </c>
      <c r="M7" s="49"/>
    </row>
    <row r="8" spans="2:13" ht="15" thickBot="1">
      <c r="B8" s="121"/>
      <c r="C8" s="170"/>
      <c r="D8" s="167"/>
      <c r="E8" s="50" t="s">
        <v>265</v>
      </c>
      <c r="F8" s="42" t="s">
        <v>37</v>
      </c>
      <c r="G8" s="51">
        <f>G5*G6</f>
        <v>64.599999999999994</v>
      </c>
      <c r="H8" s="42" t="s">
        <v>38</v>
      </c>
      <c r="J8" s="52" t="s">
        <v>24</v>
      </c>
      <c r="K8" s="53" t="s">
        <v>89</v>
      </c>
      <c r="L8" s="54">
        <f>4*PI()*0.0000001</f>
        <v>1.2566370614359173E-6</v>
      </c>
      <c r="M8" s="55"/>
    </row>
    <row r="9" spans="2:13">
      <c r="B9" s="121"/>
      <c r="C9" s="170"/>
      <c r="D9" s="167"/>
      <c r="E9" s="50" t="s">
        <v>118</v>
      </c>
      <c r="F9" s="42" t="s">
        <v>119</v>
      </c>
      <c r="G9" s="51">
        <f>G5*G7</f>
        <v>95</v>
      </c>
      <c r="H9" s="42" t="s">
        <v>120</v>
      </c>
    </row>
    <row r="10" spans="2:13">
      <c r="B10" s="121"/>
      <c r="C10" s="170"/>
      <c r="D10" s="167"/>
      <c r="E10" s="50" t="s">
        <v>14</v>
      </c>
      <c r="F10" s="42" t="s">
        <v>15</v>
      </c>
      <c r="G10" s="43">
        <v>90</v>
      </c>
      <c r="H10" s="42" t="s">
        <v>16</v>
      </c>
    </row>
    <row r="11" spans="2:13">
      <c r="B11" s="121"/>
      <c r="C11" s="170"/>
      <c r="D11" s="167"/>
      <c r="E11" s="56" t="s">
        <v>17</v>
      </c>
      <c r="F11" s="42" t="s">
        <v>18</v>
      </c>
      <c r="G11" s="43">
        <v>264</v>
      </c>
      <c r="H11" s="42" t="s">
        <v>16</v>
      </c>
      <c r="J11" s="57"/>
      <c r="K11" s="58"/>
      <c r="L11" s="59"/>
      <c r="M11" s="59"/>
    </row>
    <row r="12" spans="2:13">
      <c r="B12" s="121"/>
      <c r="C12" s="170"/>
      <c r="D12" s="167"/>
      <c r="E12" s="50" t="s">
        <v>91</v>
      </c>
      <c r="F12" s="42" t="s">
        <v>93</v>
      </c>
      <c r="G12" s="43">
        <v>47</v>
      </c>
      <c r="H12" s="42" t="s">
        <v>92</v>
      </c>
    </row>
    <row r="13" spans="2:13">
      <c r="B13" s="121"/>
      <c r="C13" s="170"/>
      <c r="D13" s="167"/>
      <c r="E13" s="50" t="s">
        <v>121</v>
      </c>
      <c r="F13" s="42" t="s">
        <v>39</v>
      </c>
      <c r="G13" s="60">
        <f>(4*G19)/(9*SQRT(2)*G12*G23*G10)*1000000</f>
        <v>44.439675514550153</v>
      </c>
      <c r="H13" s="42" t="s">
        <v>9</v>
      </c>
      <c r="J13" s="57"/>
      <c r="K13" s="58"/>
      <c r="L13" s="59"/>
      <c r="M13" s="59"/>
    </row>
    <row r="14" spans="2:13">
      <c r="B14" s="121"/>
      <c r="C14" s="170"/>
      <c r="D14" s="167"/>
      <c r="E14" s="50" t="s">
        <v>122</v>
      </c>
      <c r="F14" s="42" t="s">
        <v>123</v>
      </c>
      <c r="G14" s="60">
        <f>(4*G20)/(9*SQRT(2)*G12*G23*G10)*1000000</f>
        <v>65.35246399198553</v>
      </c>
      <c r="H14" s="42" t="s">
        <v>114</v>
      </c>
    </row>
    <row r="15" spans="2:13">
      <c r="B15" s="121"/>
      <c r="C15" s="170"/>
      <c r="D15" s="167"/>
      <c r="E15" s="56" t="s">
        <v>133</v>
      </c>
      <c r="F15" s="42" t="s">
        <v>41</v>
      </c>
      <c r="G15" s="60">
        <f>SQRT(2)*G10-G13</f>
        <v>82.839545099028413</v>
      </c>
      <c r="H15" s="42" t="s">
        <v>9</v>
      </c>
    </row>
    <row r="16" spans="2:13">
      <c r="B16" s="121"/>
      <c r="C16" s="170"/>
      <c r="D16" s="167"/>
      <c r="E16" s="50" t="s">
        <v>134</v>
      </c>
      <c r="F16" s="42" t="s">
        <v>135</v>
      </c>
      <c r="G16" s="60">
        <f>SQRT(2)*G10-G14</f>
        <v>61.926756621593029</v>
      </c>
      <c r="H16" s="42" t="s">
        <v>114</v>
      </c>
    </row>
    <row r="17" spans="2:13">
      <c r="B17" s="121"/>
      <c r="C17" s="170"/>
      <c r="D17" s="167"/>
      <c r="E17" s="56" t="s">
        <v>44</v>
      </c>
      <c r="F17" s="42" t="s">
        <v>45</v>
      </c>
      <c r="G17" s="60">
        <f>SQRT(2)*G11</f>
        <v>373.3523804664971</v>
      </c>
      <c r="H17" s="42" t="s">
        <v>9</v>
      </c>
    </row>
    <row r="18" spans="2:13">
      <c r="B18" s="121"/>
      <c r="C18" s="170"/>
      <c r="D18" s="167"/>
      <c r="E18" s="56" t="s">
        <v>280</v>
      </c>
      <c r="F18" s="42" t="s">
        <v>19</v>
      </c>
      <c r="G18" s="43">
        <v>90</v>
      </c>
      <c r="H18" s="42" t="s">
        <v>20</v>
      </c>
    </row>
    <row r="19" spans="2:13">
      <c r="B19" s="121"/>
      <c r="C19" s="170"/>
      <c r="D19" s="167"/>
      <c r="E19" s="50" t="s">
        <v>124</v>
      </c>
      <c r="F19" s="42" t="s">
        <v>66</v>
      </c>
      <c r="G19" s="61">
        <f>G8/(G18/100)</f>
        <v>71.777777777777771</v>
      </c>
      <c r="H19" s="42" t="s">
        <v>38</v>
      </c>
      <c r="J19" s="62"/>
      <c r="K19" s="62"/>
      <c r="L19" s="62"/>
      <c r="M19" s="62"/>
    </row>
    <row r="20" spans="2:13">
      <c r="B20" s="121"/>
      <c r="C20" s="170"/>
      <c r="D20" s="167"/>
      <c r="E20" s="50" t="s">
        <v>125</v>
      </c>
      <c r="F20" s="42" t="s">
        <v>126</v>
      </c>
      <c r="G20" s="60">
        <f>G9/(G18/100)</f>
        <v>105.55555555555556</v>
      </c>
      <c r="H20" s="42" t="s">
        <v>127</v>
      </c>
      <c r="J20" s="62"/>
      <c r="K20" s="62"/>
      <c r="L20" s="62"/>
      <c r="M20" s="62"/>
    </row>
    <row r="21" spans="2:13">
      <c r="B21" s="121"/>
      <c r="C21" s="170"/>
      <c r="D21" s="167"/>
      <c r="E21" s="56" t="s">
        <v>21</v>
      </c>
      <c r="F21" s="42" t="s">
        <v>22</v>
      </c>
      <c r="G21" s="43">
        <v>65</v>
      </c>
      <c r="H21" s="42" t="s">
        <v>23</v>
      </c>
      <c r="J21" s="62"/>
      <c r="K21" s="62"/>
      <c r="L21" s="62"/>
      <c r="M21" s="62"/>
    </row>
    <row r="22" spans="2:13">
      <c r="B22" s="121"/>
      <c r="C22" s="170"/>
      <c r="D22" s="168"/>
      <c r="E22" s="50" t="s">
        <v>42</v>
      </c>
      <c r="F22" s="42" t="s">
        <v>32</v>
      </c>
      <c r="G22" s="61">
        <f>1/G21*1000</f>
        <v>15.384615384615385</v>
      </c>
      <c r="H22" s="42" t="s">
        <v>43</v>
      </c>
      <c r="J22" s="63"/>
      <c r="K22" s="64"/>
      <c r="L22" s="62"/>
      <c r="M22" s="64"/>
    </row>
    <row r="23" spans="2:13">
      <c r="B23" s="121"/>
      <c r="C23" s="170"/>
      <c r="D23" s="125" t="s">
        <v>33</v>
      </c>
      <c r="E23" s="50" t="s">
        <v>26</v>
      </c>
      <c r="F23" s="42" t="s">
        <v>28</v>
      </c>
      <c r="G23" s="43">
        <v>120</v>
      </c>
      <c r="H23" s="42" t="s">
        <v>30</v>
      </c>
      <c r="J23" s="62"/>
      <c r="K23" s="62"/>
      <c r="L23" s="62"/>
      <c r="M23" s="62"/>
    </row>
    <row r="24" spans="2:13">
      <c r="B24" s="121"/>
      <c r="C24" s="170"/>
      <c r="D24" s="126"/>
      <c r="E24" s="56" t="s">
        <v>27</v>
      </c>
      <c r="F24" s="42" t="s">
        <v>29</v>
      </c>
      <c r="G24" s="43">
        <v>0.5</v>
      </c>
      <c r="H24" s="42" t="s">
        <v>9</v>
      </c>
    </row>
    <row r="25" spans="2:13" ht="15" thickBot="1">
      <c r="B25" s="122"/>
      <c r="C25" s="171"/>
      <c r="D25" s="127"/>
      <c r="E25" s="65" t="s">
        <v>102</v>
      </c>
      <c r="F25" s="35" t="s">
        <v>100</v>
      </c>
      <c r="G25" s="36">
        <v>0.3</v>
      </c>
      <c r="H25" s="35" t="s">
        <v>97</v>
      </c>
    </row>
    <row r="26" spans="2:13">
      <c r="B26" s="120">
        <v>2</v>
      </c>
      <c r="C26" s="128" t="s">
        <v>34</v>
      </c>
      <c r="D26" s="129"/>
      <c r="E26" s="66" t="s">
        <v>53</v>
      </c>
      <c r="F26" s="67" t="s">
        <v>54</v>
      </c>
      <c r="G26" s="68">
        <v>110</v>
      </c>
      <c r="H26" s="67" t="s">
        <v>9</v>
      </c>
    </row>
    <row r="27" spans="2:13">
      <c r="B27" s="121"/>
      <c r="C27" s="130"/>
      <c r="D27" s="131"/>
      <c r="E27" s="56" t="s">
        <v>48</v>
      </c>
      <c r="F27" s="42" t="s">
        <v>50</v>
      </c>
      <c r="G27" s="43">
        <v>30</v>
      </c>
      <c r="H27" s="42" t="s">
        <v>9</v>
      </c>
    </row>
    <row r="28" spans="2:13">
      <c r="B28" s="121"/>
      <c r="C28" s="130"/>
      <c r="D28" s="131"/>
      <c r="E28" s="56" t="s">
        <v>49</v>
      </c>
      <c r="F28" s="42" t="s">
        <v>51</v>
      </c>
      <c r="G28" s="43">
        <v>30</v>
      </c>
      <c r="H28" s="42" t="s">
        <v>9</v>
      </c>
    </row>
    <row r="29" spans="2:13">
      <c r="B29" s="121"/>
      <c r="C29" s="130"/>
      <c r="D29" s="131"/>
      <c r="E29" s="56" t="s">
        <v>55</v>
      </c>
      <c r="F29" s="42" t="s">
        <v>56</v>
      </c>
      <c r="G29" s="60">
        <f>G26+G17+G27</f>
        <v>513.35238046649715</v>
      </c>
      <c r="H29" s="42" t="s">
        <v>9</v>
      </c>
    </row>
    <row r="30" spans="2:13" ht="15" thickBot="1">
      <c r="B30" s="122"/>
      <c r="C30" s="132"/>
      <c r="D30" s="133"/>
      <c r="E30" s="69" t="s">
        <v>57</v>
      </c>
      <c r="F30" s="70" t="s">
        <v>58</v>
      </c>
      <c r="G30" s="71">
        <f>G5+(((G5+G24)/G26)*G17)+G28</f>
        <v>115.18519471906085</v>
      </c>
      <c r="H30" s="70" t="s">
        <v>9</v>
      </c>
    </row>
    <row r="31" spans="2:13" ht="15" thickBot="1">
      <c r="B31" s="72">
        <v>3</v>
      </c>
      <c r="C31" s="134" t="s">
        <v>59</v>
      </c>
      <c r="D31" s="135"/>
      <c r="E31" s="73" t="s">
        <v>60</v>
      </c>
      <c r="F31" s="74" t="s">
        <v>61</v>
      </c>
      <c r="G31" s="75">
        <f>G26/(G5+G24)</f>
        <v>5.6410256410256414</v>
      </c>
      <c r="H31" s="74"/>
    </row>
    <row r="32" spans="2:13">
      <c r="B32" s="120">
        <v>4</v>
      </c>
      <c r="C32" s="143" t="s">
        <v>227</v>
      </c>
      <c r="D32" s="129"/>
      <c r="E32" s="164" t="s">
        <v>128</v>
      </c>
      <c r="F32" s="67" t="s">
        <v>230</v>
      </c>
      <c r="G32" s="76">
        <v>100</v>
      </c>
      <c r="H32" s="67" t="s">
        <v>129</v>
      </c>
    </row>
    <row r="33" spans="2:9">
      <c r="B33" s="121"/>
      <c r="C33" s="130"/>
      <c r="D33" s="131"/>
      <c r="E33" s="165"/>
      <c r="F33" s="42" t="s">
        <v>231</v>
      </c>
      <c r="G33" s="77">
        <f>SQRT(2)*G32</f>
        <v>141.42135623730951</v>
      </c>
      <c r="H33" s="42" t="s">
        <v>142</v>
      </c>
    </row>
    <row r="34" spans="2:9">
      <c r="B34" s="121"/>
      <c r="C34" s="130"/>
      <c r="D34" s="131"/>
      <c r="E34" s="50" t="s">
        <v>130</v>
      </c>
      <c r="F34" s="42" t="s">
        <v>140</v>
      </c>
      <c r="G34" s="78">
        <v>3.4</v>
      </c>
      <c r="H34" s="42" t="s">
        <v>69</v>
      </c>
    </row>
    <row r="35" spans="2:9">
      <c r="B35" s="121"/>
      <c r="C35" s="130"/>
      <c r="D35" s="131"/>
      <c r="E35" s="50" t="s">
        <v>99</v>
      </c>
      <c r="F35" s="42" t="s">
        <v>228</v>
      </c>
      <c r="G35" s="78">
        <v>0.25</v>
      </c>
      <c r="H35" s="42"/>
    </row>
    <row r="36" spans="2:9">
      <c r="B36" s="121"/>
      <c r="C36" s="130"/>
      <c r="D36" s="131"/>
      <c r="E36" s="50" t="s">
        <v>236</v>
      </c>
      <c r="F36" s="42" t="s">
        <v>232</v>
      </c>
      <c r="G36" s="79">
        <f>G34*G5</f>
        <v>64.599999999999994</v>
      </c>
      <c r="H36" s="42" t="s">
        <v>147</v>
      </c>
    </row>
    <row r="37" spans="2:9" ht="15" thickBot="1">
      <c r="B37" s="122"/>
      <c r="C37" s="132"/>
      <c r="D37" s="133"/>
      <c r="E37" s="80" t="s">
        <v>237</v>
      </c>
      <c r="F37" s="70" t="s">
        <v>233</v>
      </c>
      <c r="G37" s="81">
        <f>G36/G18*100</f>
        <v>71.777777777777771</v>
      </c>
      <c r="H37" s="70" t="s">
        <v>147</v>
      </c>
    </row>
    <row r="38" spans="2:9">
      <c r="B38" s="120">
        <v>5</v>
      </c>
      <c r="C38" s="128" t="s">
        <v>229</v>
      </c>
      <c r="D38" s="129"/>
      <c r="E38" s="82" t="s">
        <v>149</v>
      </c>
      <c r="F38" s="67" t="s">
        <v>234</v>
      </c>
      <c r="G38" s="83">
        <f>G26/(G33+G26)</f>
        <v>0.43751255520304372</v>
      </c>
      <c r="H38" s="67"/>
      <c r="I38" s="84"/>
    </row>
    <row r="39" spans="2:9">
      <c r="B39" s="121"/>
      <c r="C39" s="130"/>
      <c r="D39" s="131"/>
      <c r="E39" s="56" t="s">
        <v>150</v>
      </c>
      <c r="F39" s="42" t="s">
        <v>235</v>
      </c>
      <c r="G39" s="61">
        <f>G38/G21*1000</f>
        <v>6.730962387739134</v>
      </c>
      <c r="H39" s="42" t="s">
        <v>43</v>
      </c>
    </row>
    <row r="40" spans="2:9">
      <c r="B40" s="121"/>
      <c r="C40" s="130"/>
      <c r="D40" s="131"/>
      <c r="E40" s="161" t="s">
        <v>63</v>
      </c>
      <c r="F40" s="160" t="s">
        <v>64</v>
      </c>
      <c r="G40" s="60">
        <f>((1+G35)/(1-G35))*(G33^2*G39^2*G21)/((2*G37)*1000)</f>
        <v>683.79579409489077</v>
      </c>
      <c r="H40" s="42" t="s">
        <v>67</v>
      </c>
    </row>
    <row r="41" spans="2:9">
      <c r="B41" s="121"/>
      <c r="C41" s="130"/>
      <c r="D41" s="131"/>
      <c r="E41" s="154"/>
      <c r="F41" s="151"/>
      <c r="G41" s="158" t="s">
        <v>225</v>
      </c>
      <c r="H41" s="159"/>
    </row>
    <row r="42" spans="2:9" ht="15" thickBot="1">
      <c r="B42" s="122"/>
      <c r="C42" s="132"/>
      <c r="D42" s="133"/>
      <c r="E42" s="155"/>
      <c r="F42" s="152"/>
      <c r="G42" s="85">
        <v>680</v>
      </c>
      <c r="H42" s="70" t="s">
        <v>94</v>
      </c>
    </row>
    <row r="43" spans="2:9">
      <c r="B43" s="120">
        <v>6</v>
      </c>
      <c r="C43" s="138" t="s">
        <v>156</v>
      </c>
      <c r="D43" s="139"/>
      <c r="E43" s="86" t="s">
        <v>151</v>
      </c>
      <c r="F43" s="67" t="s">
        <v>62</v>
      </c>
      <c r="G43" s="87">
        <f>G26/(G16+G26)</f>
        <v>0.63980733517882593</v>
      </c>
      <c r="H43" s="67"/>
    </row>
    <row r="44" spans="2:9">
      <c r="B44" s="121"/>
      <c r="C44" s="130"/>
      <c r="D44" s="140"/>
      <c r="E44" s="88" t="s">
        <v>152</v>
      </c>
      <c r="F44" s="42" t="s">
        <v>65</v>
      </c>
      <c r="G44" s="89">
        <f>G43/G21*1000</f>
        <v>9.8431897719819368</v>
      </c>
      <c r="H44" s="42" t="s">
        <v>153</v>
      </c>
    </row>
    <row r="45" spans="2:9" ht="15" thickBot="1">
      <c r="B45" s="122"/>
      <c r="C45" s="132"/>
      <c r="D45" s="141"/>
      <c r="E45" s="54" t="s">
        <v>155</v>
      </c>
      <c r="F45" s="70" t="s">
        <v>154</v>
      </c>
      <c r="G45" s="90">
        <f>((G42/((G16^2*G44^2*G21)/(2*G20)/1000))-1)/((G42/((G16^2*G44^2*G21)/(2*G20)/1000))+1)</f>
        <v>0.7119812609029279</v>
      </c>
      <c r="H45" s="55"/>
    </row>
    <row r="46" spans="2:9" ht="15" thickBot="1">
      <c r="B46" s="72">
        <v>7</v>
      </c>
      <c r="C46" s="136" t="s">
        <v>148</v>
      </c>
      <c r="D46" s="137"/>
      <c r="E46" s="73" t="s">
        <v>112</v>
      </c>
      <c r="F46" s="74" t="s">
        <v>68</v>
      </c>
      <c r="G46" s="91">
        <f>G16*G44/((1-G45)*G42)</f>
        <v>3.1123220912874956</v>
      </c>
      <c r="H46" s="74" t="s">
        <v>69</v>
      </c>
    </row>
    <row r="47" spans="2:9">
      <c r="B47" s="120">
        <v>8</v>
      </c>
      <c r="C47" s="128" t="s">
        <v>70</v>
      </c>
      <c r="D47" s="129"/>
      <c r="E47" s="153" t="s">
        <v>71</v>
      </c>
      <c r="F47" s="150" t="s">
        <v>72</v>
      </c>
      <c r="G47" s="92">
        <f>(G42*G46)/(G31*G25*L5)</f>
        <v>12.761097999527582</v>
      </c>
      <c r="H47" s="67" t="s">
        <v>95</v>
      </c>
    </row>
    <row r="48" spans="2:9">
      <c r="B48" s="121"/>
      <c r="C48" s="130"/>
      <c r="D48" s="131"/>
      <c r="E48" s="154"/>
      <c r="F48" s="151"/>
      <c r="G48" s="156" t="s">
        <v>226</v>
      </c>
      <c r="H48" s="157"/>
      <c r="I48" s="84"/>
    </row>
    <row r="49" spans="2:8" ht="15" thickBot="1">
      <c r="B49" s="122"/>
      <c r="C49" s="132"/>
      <c r="D49" s="133"/>
      <c r="E49" s="155"/>
      <c r="F49" s="152"/>
      <c r="G49" s="93">
        <v>13</v>
      </c>
      <c r="H49" s="70" t="s">
        <v>95</v>
      </c>
    </row>
    <row r="50" spans="2:8">
      <c r="B50" s="120">
        <v>9</v>
      </c>
      <c r="C50" s="128" t="s">
        <v>74</v>
      </c>
      <c r="D50" s="129"/>
      <c r="E50" s="153" t="s">
        <v>75</v>
      </c>
      <c r="F50" s="150" t="s">
        <v>76</v>
      </c>
      <c r="G50" s="94">
        <f>G31*G49</f>
        <v>73.333333333333343</v>
      </c>
      <c r="H50" s="67" t="s">
        <v>95</v>
      </c>
    </row>
    <row r="51" spans="2:8">
      <c r="B51" s="121"/>
      <c r="C51" s="130"/>
      <c r="D51" s="131"/>
      <c r="E51" s="154"/>
      <c r="F51" s="151"/>
      <c r="G51" s="158" t="s">
        <v>226</v>
      </c>
      <c r="H51" s="159"/>
    </row>
    <row r="52" spans="2:8">
      <c r="B52" s="121"/>
      <c r="C52" s="130"/>
      <c r="D52" s="131"/>
      <c r="E52" s="154"/>
      <c r="F52" s="151"/>
      <c r="G52" s="95">
        <v>74</v>
      </c>
      <c r="H52" s="42" t="s">
        <v>95</v>
      </c>
    </row>
    <row r="53" spans="2:8" ht="15" thickBot="1">
      <c r="B53" s="122"/>
      <c r="C53" s="132"/>
      <c r="D53" s="133"/>
      <c r="E53" s="96" t="s">
        <v>281</v>
      </c>
      <c r="F53" s="70" t="s">
        <v>282</v>
      </c>
      <c r="G53" s="113">
        <f>G52/G49</f>
        <v>5.6923076923076925</v>
      </c>
      <c r="H53" s="70"/>
    </row>
    <row r="54" spans="2:8">
      <c r="B54" s="120">
        <v>10</v>
      </c>
      <c r="C54" s="128" t="s">
        <v>255</v>
      </c>
      <c r="D54" s="129"/>
      <c r="E54" s="86" t="s">
        <v>256</v>
      </c>
      <c r="F54" s="67" t="s">
        <v>257</v>
      </c>
      <c r="G54" s="68">
        <v>22</v>
      </c>
      <c r="H54" s="67" t="s">
        <v>258</v>
      </c>
    </row>
    <row r="55" spans="2:8">
      <c r="B55" s="121"/>
      <c r="C55" s="130"/>
      <c r="D55" s="131"/>
      <c r="E55" s="161" t="s">
        <v>260</v>
      </c>
      <c r="F55" s="160" t="s">
        <v>259</v>
      </c>
      <c r="G55" s="60">
        <f>G54/(G5+G24)*G49</f>
        <v>14.666666666666666</v>
      </c>
      <c r="H55" s="42" t="s">
        <v>261</v>
      </c>
    </row>
    <row r="56" spans="2:8">
      <c r="B56" s="121"/>
      <c r="C56" s="130"/>
      <c r="D56" s="131"/>
      <c r="E56" s="154"/>
      <c r="F56" s="151"/>
      <c r="G56" s="98"/>
      <c r="H56" s="42"/>
    </row>
    <row r="57" spans="2:8" ht="15" thickBot="1">
      <c r="B57" s="122"/>
      <c r="C57" s="132"/>
      <c r="D57" s="133"/>
      <c r="E57" s="155"/>
      <c r="F57" s="152"/>
      <c r="G57" s="93">
        <v>15</v>
      </c>
      <c r="H57" s="70" t="s">
        <v>262</v>
      </c>
    </row>
    <row r="58" spans="2:8" ht="15" thickBot="1">
      <c r="B58" s="99">
        <v>11</v>
      </c>
      <c r="C58" s="172" t="s">
        <v>77</v>
      </c>
      <c r="D58" s="173"/>
      <c r="E58" s="86" t="s">
        <v>79</v>
      </c>
      <c r="F58" s="67" t="s">
        <v>78</v>
      </c>
      <c r="G58" s="100">
        <f>(((L8*G52^2*L5)/G42)*1000)-(L6/L7)</f>
        <v>0.97705651825313056</v>
      </c>
      <c r="H58" s="67" t="s">
        <v>83</v>
      </c>
    </row>
    <row r="59" spans="2:8">
      <c r="B59" s="120">
        <v>12</v>
      </c>
      <c r="C59" s="143" t="s">
        <v>80</v>
      </c>
      <c r="D59" s="144"/>
      <c r="E59" s="66" t="s">
        <v>113</v>
      </c>
      <c r="F59" s="67" t="s">
        <v>111</v>
      </c>
      <c r="G59" s="101">
        <f>(L8*G52*G46)/((L6/L7/1000)+G58/1000)</f>
        <v>0.2918338419850382</v>
      </c>
      <c r="H59" s="67" t="s">
        <v>97</v>
      </c>
    </row>
    <row r="60" spans="2:8" ht="15" thickBot="1">
      <c r="B60" s="122"/>
      <c r="C60" s="147"/>
      <c r="D60" s="148"/>
      <c r="E60" s="80" t="s">
        <v>53</v>
      </c>
      <c r="F60" s="70" t="s">
        <v>179</v>
      </c>
      <c r="G60" s="97">
        <f>G52*(G5+G24)/G49</f>
        <v>111</v>
      </c>
      <c r="H60" s="70" t="s">
        <v>180</v>
      </c>
    </row>
    <row r="61" spans="2:8">
      <c r="B61" s="120">
        <v>13</v>
      </c>
      <c r="C61" s="138" t="s">
        <v>254</v>
      </c>
      <c r="D61" s="129"/>
      <c r="E61" s="82" t="s">
        <v>157</v>
      </c>
      <c r="F61" s="67" t="s">
        <v>160</v>
      </c>
      <c r="G61" s="101">
        <f>'パラメータ入力(連続定格出力)'!H3</f>
        <v>0.57263857043872302</v>
      </c>
      <c r="H61" s="67"/>
    </row>
    <row r="62" spans="2:8">
      <c r="B62" s="121"/>
      <c r="C62" s="130"/>
      <c r="D62" s="131"/>
      <c r="E62" s="56" t="s">
        <v>177</v>
      </c>
      <c r="F62" s="42" t="s">
        <v>158</v>
      </c>
      <c r="G62" s="102">
        <f>G61/G21*1000</f>
        <v>8.8098241605957384</v>
      </c>
      <c r="H62" s="42" t="s">
        <v>159</v>
      </c>
    </row>
    <row r="63" spans="2:8">
      <c r="B63" s="121"/>
      <c r="C63" s="130"/>
      <c r="D63" s="131"/>
      <c r="E63" s="50" t="s">
        <v>249</v>
      </c>
      <c r="F63" s="42" t="s">
        <v>154</v>
      </c>
      <c r="G63" s="102">
        <f>'パラメータ入力(連続定格出力)'!K5</f>
        <v>0.47640113072944418</v>
      </c>
      <c r="H63" s="42"/>
    </row>
    <row r="64" spans="2:8">
      <c r="B64" s="121"/>
      <c r="C64" s="130"/>
      <c r="D64" s="131"/>
      <c r="E64" s="56" t="s">
        <v>276</v>
      </c>
      <c r="F64" s="42" t="s">
        <v>161</v>
      </c>
      <c r="G64" s="102">
        <f>'パラメータ入力(連続定格出力)'!H2</f>
        <v>2.0497331873732612</v>
      </c>
      <c r="H64" s="42" t="s">
        <v>69</v>
      </c>
    </row>
    <row r="65" spans="2:11">
      <c r="B65" s="121"/>
      <c r="C65" s="130"/>
      <c r="D65" s="131"/>
      <c r="E65" s="56" t="s">
        <v>278</v>
      </c>
      <c r="F65" s="42" t="s">
        <v>105</v>
      </c>
      <c r="G65" s="103">
        <f>'パラメータ入力(連続定格出力)'!K2</f>
        <v>1.1687728648593394</v>
      </c>
      <c r="H65" s="42" t="s">
        <v>104</v>
      </c>
      <c r="I65" s="84"/>
    </row>
    <row r="66" spans="2:11">
      <c r="B66" s="121"/>
      <c r="C66" s="130"/>
      <c r="D66" s="131"/>
      <c r="E66" s="56" t="s">
        <v>277</v>
      </c>
      <c r="F66" s="42" t="s">
        <v>268</v>
      </c>
      <c r="G66" s="103">
        <f>'パラメータ入力(連続定格出力)'!I69</f>
        <v>11.667711989663179</v>
      </c>
      <c r="H66" s="42" t="s">
        <v>269</v>
      </c>
      <c r="I66" s="84"/>
    </row>
    <row r="67" spans="2:11">
      <c r="B67" s="121"/>
      <c r="C67" s="130"/>
      <c r="D67" s="131"/>
      <c r="E67" s="56" t="s">
        <v>279</v>
      </c>
      <c r="F67" s="42" t="s">
        <v>107</v>
      </c>
      <c r="G67" s="103">
        <f>'パラメータ入力(連続定格出力)'!K3</f>
        <v>5.7474585892547241</v>
      </c>
      <c r="H67" s="42" t="s">
        <v>104</v>
      </c>
      <c r="I67" s="84"/>
    </row>
    <row r="68" spans="2:11" ht="15" thickBot="1">
      <c r="B68" s="122"/>
      <c r="C68" s="132"/>
      <c r="D68" s="133"/>
      <c r="E68" s="80" t="s">
        <v>108</v>
      </c>
      <c r="F68" s="70" t="s">
        <v>109</v>
      </c>
      <c r="G68" s="104">
        <f>'パラメータ入力(連続定格出力)'!K4</f>
        <v>4.4140876104270799</v>
      </c>
      <c r="H68" s="70" t="s">
        <v>110</v>
      </c>
      <c r="I68" s="84"/>
    </row>
    <row r="69" spans="2:11" ht="14.25" customHeight="1">
      <c r="B69" s="120">
        <v>14</v>
      </c>
      <c r="C69" s="183" t="s">
        <v>224</v>
      </c>
      <c r="D69" s="184"/>
      <c r="E69" s="66" t="s">
        <v>128</v>
      </c>
      <c r="F69" s="67" t="s">
        <v>169</v>
      </c>
      <c r="G69" s="114">
        <v>100</v>
      </c>
      <c r="H69" s="67" t="s">
        <v>164</v>
      </c>
    </row>
    <row r="70" spans="2:11">
      <c r="B70" s="121"/>
      <c r="C70" s="185"/>
      <c r="D70" s="186"/>
      <c r="E70" s="50" t="s">
        <v>130</v>
      </c>
      <c r="F70" s="42" t="s">
        <v>170</v>
      </c>
      <c r="G70" s="115">
        <v>3.4</v>
      </c>
      <c r="H70" s="42" t="s">
        <v>69</v>
      </c>
    </row>
    <row r="71" spans="2:11">
      <c r="B71" s="121"/>
      <c r="C71" s="185"/>
      <c r="D71" s="186"/>
      <c r="E71" s="56" t="s">
        <v>166</v>
      </c>
      <c r="F71" s="42" t="s">
        <v>171</v>
      </c>
      <c r="G71" s="77">
        <f>SQRT(2)*G69</f>
        <v>141.42135623730951</v>
      </c>
      <c r="H71" s="42" t="s">
        <v>167</v>
      </c>
    </row>
    <row r="72" spans="2:11">
      <c r="B72" s="121"/>
      <c r="C72" s="185"/>
      <c r="D72" s="186"/>
      <c r="E72" s="50" t="s">
        <v>36</v>
      </c>
      <c r="F72" s="42" t="s">
        <v>173</v>
      </c>
      <c r="G72" s="116">
        <f>G5*G70</f>
        <v>64.599999999999994</v>
      </c>
      <c r="H72" s="42" t="s">
        <v>147</v>
      </c>
    </row>
    <row r="73" spans="2:11">
      <c r="B73" s="121"/>
      <c r="C73" s="185"/>
      <c r="D73" s="186"/>
      <c r="E73" s="50" t="s">
        <v>163</v>
      </c>
      <c r="F73" s="42" t="s">
        <v>172</v>
      </c>
      <c r="G73" s="79">
        <f>G72/(G18/100)</f>
        <v>71.777777777777771</v>
      </c>
      <c r="H73" s="42" t="s">
        <v>147</v>
      </c>
    </row>
    <row r="74" spans="2:11">
      <c r="B74" s="121"/>
      <c r="C74" s="185"/>
      <c r="D74" s="186"/>
      <c r="E74" s="56" t="s">
        <v>165</v>
      </c>
      <c r="F74" s="42" t="s">
        <v>175</v>
      </c>
      <c r="G74" s="89">
        <f>'パラメータ入力(連続動作状態チェック)'!H3</f>
        <v>0.43974092229995509</v>
      </c>
      <c r="H74" s="42"/>
    </row>
    <row r="75" spans="2:11">
      <c r="B75" s="121"/>
      <c r="C75" s="185"/>
      <c r="D75" s="186"/>
      <c r="E75" s="56" t="s">
        <v>178</v>
      </c>
      <c r="F75" s="42" t="s">
        <v>176</v>
      </c>
      <c r="G75" s="89">
        <f>G74/G21*1000</f>
        <v>6.7652449584608476</v>
      </c>
      <c r="H75" s="42" t="s">
        <v>168</v>
      </c>
      <c r="J75" s="84"/>
      <c r="K75" s="84"/>
    </row>
    <row r="76" spans="2:11">
      <c r="B76" s="121"/>
      <c r="C76" s="185"/>
      <c r="D76" s="186"/>
      <c r="E76" s="50" t="s">
        <v>249</v>
      </c>
      <c r="F76" s="42" t="s">
        <v>154</v>
      </c>
      <c r="G76" s="89">
        <f>'パラメータ入力(連続動作状態チェック)'!K5</f>
        <v>0.24261350457674274</v>
      </c>
      <c r="H76" s="42"/>
    </row>
    <row r="77" spans="2:11">
      <c r="B77" s="121"/>
      <c r="C77" s="185"/>
      <c r="D77" s="186"/>
      <c r="E77" s="50" t="s">
        <v>286</v>
      </c>
      <c r="F77" s="42" t="s">
        <v>287</v>
      </c>
      <c r="G77" s="89">
        <f>(G42*G78)/(G52*L5)</f>
        <v>0.17418998090546567</v>
      </c>
      <c r="H77" s="42"/>
    </row>
    <row r="78" spans="2:11">
      <c r="B78" s="121"/>
      <c r="C78" s="185"/>
      <c r="D78" s="186"/>
      <c r="E78" s="165" t="s">
        <v>270</v>
      </c>
      <c r="F78" s="42" t="s">
        <v>181</v>
      </c>
      <c r="G78" s="117">
        <f>'パラメータ入力(連続動作状態チェック)'!H2</f>
        <v>1.8576849140094662</v>
      </c>
      <c r="H78" s="42" t="s">
        <v>182</v>
      </c>
    </row>
    <row r="79" spans="2:11">
      <c r="B79" s="121"/>
      <c r="C79" s="185"/>
      <c r="D79" s="186"/>
      <c r="E79" s="165"/>
      <c r="F79" s="42" t="s">
        <v>183</v>
      </c>
      <c r="G79" s="89">
        <f>'パラメータ入力(連続動作状態チェック)'!K8</f>
        <v>0.4506994473871816</v>
      </c>
      <c r="H79" s="42" t="s">
        <v>184</v>
      </c>
    </row>
    <row r="80" spans="2:11">
      <c r="B80" s="121"/>
      <c r="C80" s="185"/>
      <c r="D80" s="186"/>
      <c r="E80" s="50" t="s">
        <v>103</v>
      </c>
      <c r="F80" s="42" t="s">
        <v>107</v>
      </c>
      <c r="G80" s="89">
        <f>'パラメータ入力(連続動作状態チェック)'!K2</f>
        <v>0.81138645406803556</v>
      </c>
      <c r="H80" s="42" t="s">
        <v>274</v>
      </c>
    </row>
    <row r="81" spans="2:8">
      <c r="B81" s="121"/>
      <c r="C81" s="185"/>
      <c r="D81" s="186"/>
      <c r="E81" s="174" t="s">
        <v>271</v>
      </c>
      <c r="F81" s="42" t="s">
        <v>272</v>
      </c>
      <c r="G81" s="89">
        <f>'パラメータ入力(連続動作状態チェック)'!I69</f>
        <v>10.574514125900038</v>
      </c>
      <c r="H81" s="42" t="s">
        <v>275</v>
      </c>
    </row>
    <row r="82" spans="2:8">
      <c r="B82" s="121"/>
      <c r="C82" s="185"/>
      <c r="D82" s="186"/>
      <c r="E82" s="174"/>
      <c r="F82" s="42" t="s">
        <v>273</v>
      </c>
      <c r="G82" s="89">
        <f>'パラメータ入力(連続動作状態チェック)'!I68</f>
        <v>2.5655199312808796</v>
      </c>
      <c r="H82" s="42" t="s">
        <v>275</v>
      </c>
    </row>
    <row r="83" spans="2:8">
      <c r="B83" s="121"/>
      <c r="C83" s="185"/>
      <c r="D83" s="186"/>
      <c r="E83" s="56" t="s">
        <v>106</v>
      </c>
      <c r="F83" s="42" t="s">
        <v>107</v>
      </c>
      <c r="G83" s="89">
        <f>'パラメータ入力(連続動作状態チェック)'!K3</f>
        <v>5.2132929505104277</v>
      </c>
      <c r="H83" s="42" t="s">
        <v>274</v>
      </c>
    </row>
    <row r="84" spans="2:8" ht="15" thickBot="1">
      <c r="B84" s="122"/>
      <c r="C84" s="187"/>
      <c r="D84" s="188"/>
      <c r="E84" s="80" t="s">
        <v>108</v>
      </c>
      <c r="F84" s="70" t="s">
        <v>109</v>
      </c>
      <c r="G84" s="90">
        <f>'パラメータ入力(連続動作状態チェック)'!K4</f>
        <v>3.6917898890876319</v>
      </c>
      <c r="H84" s="70" t="s">
        <v>274</v>
      </c>
    </row>
    <row r="87" spans="2:8">
      <c r="G87" s="107"/>
      <c r="H87" s="108"/>
    </row>
    <row r="88" spans="2:8">
      <c r="F88" s="23"/>
      <c r="G88" s="107"/>
    </row>
    <row r="91" spans="2:8">
      <c r="F91" s="23"/>
      <c r="H91" s="23"/>
    </row>
    <row r="92" spans="2:8">
      <c r="F92" s="23"/>
      <c r="H92" s="23"/>
    </row>
    <row r="93" spans="2:8">
      <c r="F93" s="23"/>
      <c r="G93" s="107"/>
      <c r="H93" s="23"/>
    </row>
    <row r="94" spans="2:8">
      <c r="F94" s="23"/>
      <c r="G94" s="107"/>
      <c r="H94" s="109"/>
    </row>
    <row r="95" spans="2:8">
      <c r="F95" s="23"/>
      <c r="G95" s="107"/>
      <c r="H95" s="109"/>
    </row>
    <row r="96" spans="2:8">
      <c r="F96" s="23"/>
      <c r="G96" s="107"/>
      <c r="H96" s="110"/>
    </row>
    <row r="97" spans="6:8">
      <c r="F97" s="23"/>
      <c r="H97" s="111"/>
    </row>
    <row r="98" spans="6:8">
      <c r="F98" s="23"/>
      <c r="H98" s="112"/>
    </row>
  </sheetData>
  <sheetProtection password="CA97" sheet="1" objects="1" scenarios="1"/>
  <mergeCells count="45">
    <mergeCell ref="E81:E82"/>
    <mergeCell ref="B69:B84"/>
    <mergeCell ref="C69:D84"/>
    <mergeCell ref="F55:F57"/>
    <mergeCell ref="E50:E52"/>
    <mergeCell ref="F50:F52"/>
    <mergeCell ref="G51:H51"/>
    <mergeCell ref="E78:E79"/>
    <mergeCell ref="E55:E57"/>
    <mergeCell ref="B59:B60"/>
    <mergeCell ref="C59:D60"/>
    <mergeCell ref="B61:B68"/>
    <mergeCell ref="C61:D68"/>
    <mergeCell ref="C58:D58"/>
    <mergeCell ref="B54:B57"/>
    <mergeCell ref="C54:D57"/>
    <mergeCell ref="B50:B53"/>
    <mergeCell ref="C50:D53"/>
    <mergeCell ref="G48:H48"/>
    <mergeCell ref="B38:B42"/>
    <mergeCell ref="C38:D42"/>
    <mergeCell ref="E40:E42"/>
    <mergeCell ref="F40:F42"/>
    <mergeCell ref="G41:H41"/>
    <mergeCell ref="B43:B45"/>
    <mergeCell ref="C43:D45"/>
    <mergeCell ref="C46:D46"/>
    <mergeCell ref="B47:B49"/>
    <mergeCell ref="C47:D49"/>
    <mergeCell ref="E47:E49"/>
    <mergeCell ref="F47:F49"/>
    <mergeCell ref="E32:E33"/>
    <mergeCell ref="B3:C3"/>
    <mergeCell ref="C4:D4"/>
    <mergeCell ref="E4:F4"/>
    <mergeCell ref="J4:K4"/>
    <mergeCell ref="B5:B25"/>
    <mergeCell ref="C5:C25"/>
    <mergeCell ref="D5:D22"/>
    <mergeCell ref="D23:D25"/>
    <mergeCell ref="B26:B30"/>
    <mergeCell ref="C26:D30"/>
    <mergeCell ref="C31:D31"/>
    <mergeCell ref="B32:B37"/>
    <mergeCell ref="C32:D37"/>
  </mergeCells>
  <phoneticPr fontId="1"/>
  <conditionalFormatting sqref="G59">
    <cfRule type="expression" dxfId="0" priority="1">
      <formula>$G$59&gt;$G$25</formula>
    </cfRule>
  </conditionalFormatting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opLeftCell="A67" zoomScaleNormal="100" workbookViewId="0">
      <selection activeCell="D74" sqref="D74"/>
    </sheetView>
  </sheetViews>
  <sheetFormatPr defaultRowHeight="14.25"/>
  <cols>
    <col min="1" max="12" width="9" style="1"/>
    <col min="13" max="13" width="9.25" style="1" bestFit="1" customWidth="1"/>
    <col min="14" max="268" width="9" style="1"/>
    <col min="269" max="269" width="9.25" style="1" bestFit="1" customWidth="1"/>
    <col min="270" max="524" width="9" style="1"/>
    <col min="525" max="525" width="9.25" style="1" bestFit="1" customWidth="1"/>
    <col min="526" max="780" width="9" style="1"/>
    <col min="781" max="781" width="9.25" style="1" bestFit="1" customWidth="1"/>
    <col min="782" max="1036" width="9" style="1"/>
    <col min="1037" max="1037" width="9.25" style="1" bestFit="1" customWidth="1"/>
    <col min="1038" max="1292" width="9" style="1"/>
    <col min="1293" max="1293" width="9.25" style="1" bestFit="1" customWidth="1"/>
    <col min="1294" max="1548" width="9" style="1"/>
    <col min="1549" max="1549" width="9.25" style="1" bestFit="1" customWidth="1"/>
    <col min="1550" max="1804" width="9" style="1"/>
    <col min="1805" max="1805" width="9.25" style="1" bestFit="1" customWidth="1"/>
    <col min="1806" max="2060" width="9" style="1"/>
    <col min="2061" max="2061" width="9.25" style="1" bestFit="1" customWidth="1"/>
    <col min="2062" max="2316" width="9" style="1"/>
    <col min="2317" max="2317" width="9.25" style="1" bestFit="1" customWidth="1"/>
    <col min="2318" max="2572" width="9" style="1"/>
    <col min="2573" max="2573" width="9.25" style="1" bestFit="1" customWidth="1"/>
    <col min="2574" max="2828" width="9" style="1"/>
    <col min="2829" max="2829" width="9.25" style="1" bestFit="1" customWidth="1"/>
    <col min="2830" max="3084" width="9" style="1"/>
    <col min="3085" max="3085" width="9.25" style="1" bestFit="1" customWidth="1"/>
    <col min="3086" max="3340" width="9" style="1"/>
    <col min="3341" max="3341" width="9.25" style="1" bestFit="1" customWidth="1"/>
    <col min="3342" max="3596" width="9" style="1"/>
    <col min="3597" max="3597" width="9.25" style="1" bestFit="1" customWidth="1"/>
    <col min="3598" max="3852" width="9" style="1"/>
    <col min="3853" max="3853" width="9.25" style="1" bestFit="1" customWidth="1"/>
    <col min="3854" max="4108" width="9" style="1"/>
    <col min="4109" max="4109" width="9.25" style="1" bestFit="1" customWidth="1"/>
    <col min="4110" max="4364" width="9" style="1"/>
    <col min="4365" max="4365" width="9.25" style="1" bestFit="1" customWidth="1"/>
    <col min="4366" max="4620" width="9" style="1"/>
    <col min="4621" max="4621" width="9.25" style="1" bestFit="1" customWidth="1"/>
    <col min="4622" max="4876" width="9" style="1"/>
    <col min="4877" max="4877" width="9.25" style="1" bestFit="1" customWidth="1"/>
    <col min="4878" max="5132" width="9" style="1"/>
    <col min="5133" max="5133" width="9.25" style="1" bestFit="1" customWidth="1"/>
    <col min="5134" max="5388" width="9" style="1"/>
    <col min="5389" max="5389" width="9.25" style="1" bestFit="1" customWidth="1"/>
    <col min="5390" max="5644" width="9" style="1"/>
    <col min="5645" max="5645" width="9.25" style="1" bestFit="1" customWidth="1"/>
    <col min="5646" max="5900" width="9" style="1"/>
    <col min="5901" max="5901" width="9.25" style="1" bestFit="1" customWidth="1"/>
    <col min="5902" max="6156" width="9" style="1"/>
    <col min="6157" max="6157" width="9.25" style="1" bestFit="1" customWidth="1"/>
    <col min="6158" max="6412" width="9" style="1"/>
    <col min="6413" max="6413" width="9.25" style="1" bestFit="1" customWidth="1"/>
    <col min="6414" max="6668" width="9" style="1"/>
    <col min="6669" max="6669" width="9.25" style="1" bestFit="1" customWidth="1"/>
    <col min="6670" max="6924" width="9" style="1"/>
    <col min="6925" max="6925" width="9.25" style="1" bestFit="1" customWidth="1"/>
    <col min="6926" max="7180" width="9" style="1"/>
    <col min="7181" max="7181" width="9.25" style="1" bestFit="1" customWidth="1"/>
    <col min="7182" max="7436" width="9" style="1"/>
    <col min="7437" max="7437" width="9.25" style="1" bestFit="1" customWidth="1"/>
    <col min="7438" max="7692" width="9" style="1"/>
    <col min="7693" max="7693" width="9.25" style="1" bestFit="1" customWidth="1"/>
    <col min="7694" max="7948" width="9" style="1"/>
    <col min="7949" max="7949" width="9.25" style="1" bestFit="1" customWidth="1"/>
    <col min="7950" max="8204" width="9" style="1"/>
    <col min="8205" max="8205" width="9.25" style="1" bestFit="1" customWidth="1"/>
    <col min="8206" max="8460" width="9" style="1"/>
    <col min="8461" max="8461" width="9.25" style="1" bestFit="1" customWidth="1"/>
    <col min="8462" max="8716" width="9" style="1"/>
    <col min="8717" max="8717" width="9.25" style="1" bestFit="1" customWidth="1"/>
    <col min="8718" max="8972" width="9" style="1"/>
    <col min="8973" max="8973" width="9.25" style="1" bestFit="1" customWidth="1"/>
    <col min="8974" max="9228" width="9" style="1"/>
    <col min="9229" max="9229" width="9.25" style="1" bestFit="1" customWidth="1"/>
    <col min="9230" max="9484" width="9" style="1"/>
    <col min="9485" max="9485" width="9.25" style="1" bestFit="1" customWidth="1"/>
    <col min="9486" max="9740" width="9" style="1"/>
    <col min="9741" max="9741" width="9.25" style="1" bestFit="1" customWidth="1"/>
    <col min="9742" max="9996" width="9" style="1"/>
    <col min="9997" max="9997" width="9.25" style="1" bestFit="1" customWidth="1"/>
    <col min="9998" max="10252" width="9" style="1"/>
    <col min="10253" max="10253" width="9.25" style="1" bestFit="1" customWidth="1"/>
    <col min="10254" max="10508" width="9" style="1"/>
    <col min="10509" max="10509" width="9.25" style="1" bestFit="1" customWidth="1"/>
    <col min="10510" max="10764" width="9" style="1"/>
    <col min="10765" max="10765" width="9.25" style="1" bestFit="1" customWidth="1"/>
    <col min="10766" max="11020" width="9" style="1"/>
    <col min="11021" max="11021" width="9.25" style="1" bestFit="1" customWidth="1"/>
    <col min="11022" max="11276" width="9" style="1"/>
    <col min="11277" max="11277" width="9.25" style="1" bestFit="1" customWidth="1"/>
    <col min="11278" max="11532" width="9" style="1"/>
    <col min="11533" max="11533" width="9.25" style="1" bestFit="1" customWidth="1"/>
    <col min="11534" max="11788" width="9" style="1"/>
    <col min="11789" max="11789" width="9.25" style="1" bestFit="1" customWidth="1"/>
    <col min="11790" max="12044" width="9" style="1"/>
    <col min="12045" max="12045" width="9.25" style="1" bestFit="1" customWidth="1"/>
    <col min="12046" max="12300" width="9" style="1"/>
    <col min="12301" max="12301" width="9.25" style="1" bestFit="1" customWidth="1"/>
    <col min="12302" max="12556" width="9" style="1"/>
    <col min="12557" max="12557" width="9.25" style="1" bestFit="1" customWidth="1"/>
    <col min="12558" max="12812" width="9" style="1"/>
    <col min="12813" max="12813" width="9.25" style="1" bestFit="1" customWidth="1"/>
    <col min="12814" max="13068" width="9" style="1"/>
    <col min="13069" max="13069" width="9.25" style="1" bestFit="1" customWidth="1"/>
    <col min="13070" max="13324" width="9" style="1"/>
    <col min="13325" max="13325" width="9.25" style="1" bestFit="1" customWidth="1"/>
    <col min="13326" max="13580" width="9" style="1"/>
    <col min="13581" max="13581" width="9.25" style="1" bestFit="1" customWidth="1"/>
    <col min="13582" max="13836" width="9" style="1"/>
    <col min="13837" max="13837" width="9.25" style="1" bestFit="1" customWidth="1"/>
    <col min="13838" max="14092" width="9" style="1"/>
    <col min="14093" max="14093" width="9.25" style="1" bestFit="1" customWidth="1"/>
    <col min="14094" max="14348" width="9" style="1"/>
    <col min="14349" max="14349" width="9.25" style="1" bestFit="1" customWidth="1"/>
    <col min="14350" max="14604" width="9" style="1"/>
    <col min="14605" max="14605" width="9.25" style="1" bestFit="1" customWidth="1"/>
    <col min="14606" max="14860" width="9" style="1"/>
    <col min="14861" max="14861" width="9.25" style="1" bestFit="1" customWidth="1"/>
    <col min="14862" max="15116" width="9" style="1"/>
    <col min="15117" max="15117" width="9.25" style="1" bestFit="1" customWidth="1"/>
    <col min="15118" max="15372" width="9" style="1"/>
    <col min="15373" max="15373" width="9.25" style="1" bestFit="1" customWidth="1"/>
    <col min="15374" max="15628" width="9" style="1"/>
    <col min="15629" max="15629" width="9.25" style="1" bestFit="1" customWidth="1"/>
    <col min="15630" max="15884" width="9" style="1"/>
    <col min="15885" max="15885" width="9.25" style="1" bestFit="1" customWidth="1"/>
    <col min="15886" max="16140" width="9" style="1"/>
    <col min="16141" max="16141" width="9.25" style="1" bestFit="1" customWidth="1"/>
    <col min="16142" max="16384" width="9" style="1"/>
  </cols>
  <sheetData>
    <row r="1" spans="2:11">
      <c r="B1" s="10"/>
      <c r="C1" s="10"/>
      <c r="D1" s="8"/>
      <c r="E1" s="21" t="s">
        <v>251</v>
      </c>
    </row>
    <row r="2" spans="2:11">
      <c r="B2" s="7" t="s">
        <v>188</v>
      </c>
      <c r="C2" s="9">
        <f>電流連続モード!G71</f>
        <v>141.42135623730951</v>
      </c>
      <c r="D2" s="7" t="s">
        <v>189</v>
      </c>
      <c r="E2" s="7">
        <f>E5/C3</f>
        <v>3.6809116809116804</v>
      </c>
      <c r="F2" s="7">
        <f>電流連続モード!G70</f>
        <v>3.4</v>
      </c>
      <c r="G2" s="2" t="s">
        <v>190</v>
      </c>
      <c r="H2" s="2">
        <f>D75</f>
        <v>1.8576849140094662</v>
      </c>
      <c r="I2" s="2" t="s">
        <v>191</v>
      </c>
      <c r="J2" s="2" t="s">
        <v>192</v>
      </c>
      <c r="K2" s="2">
        <f>L68</f>
        <v>0.81138645406803556</v>
      </c>
    </row>
    <row r="3" spans="2:11">
      <c r="B3" s="7" t="s">
        <v>193</v>
      </c>
      <c r="C3" s="7">
        <f>電流連続モード!G5+電流連続モード!G24</f>
        <v>19.5</v>
      </c>
      <c r="D3" s="7" t="s">
        <v>194</v>
      </c>
      <c r="E3" s="7">
        <f>電流連続モード!G42/1000</f>
        <v>0.68</v>
      </c>
      <c r="G3" s="2" t="s">
        <v>195</v>
      </c>
      <c r="H3" s="2">
        <f>B75</f>
        <v>0.43974092229995509</v>
      </c>
      <c r="I3" s="2"/>
      <c r="J3" s="2" t="s">
        <v>196</v>
      </c>
      <c r="K3" s="2">
        <f>L69</f>
        <v>5.2132929505104277</v>
      </c>
    </row>
    <row r="4" spans="2:11">
      <c r="B4" s="7" t="s">
        <v>197</v>
      </c>
      <c r="C4" s="7">
        <f>電流連続モード!G52</f>
        <v>74</v>
      </c>
      <c r="D4" s="7" t="s">
        <v>198</v>
      </c>
      <c r="E4" s="7">
        <f>電流連続モード!G21</f>
        <v>65</v>
      </c>
      <c r="G4" s="2" t="s">
        <v>199</v>
      </c>
      <c r="H4" s="5">
        <f>L71</f>
        <v>111</v>
      </c>
      <c r="I4" s="2" t="s">
        <v>200</v>
      </c>
      <c r="J4" s="2" t="s">
        <v>201</v>
      </c>
      <c r="K4" s="2">
        <f>(K3^2-E2^2)^0.5</f>
        <v>3.6917898890876319</v>
      </c>
    </row>
    <row r="5" spans="2:11">
      <c r="B5" s="7" t="s">
        <v>202</v>
      </c>
      <c r="C5" s="7">
        <f>電流連続モード!G49</f>
        <v>13</v>
      </c>
      <c r="D5" s="7" t="s">
        <v>223</v>
      </c>
      <c r="E5" s="9">
        <f>電流連続モード!G73</f>
        <v>71.777777777777771</v>
      </c>
      <c r="G5" s="2" t="s">
        <v>203</v>
      </c>
      <c r="H5" s="2">
        <f>L72</f>
        <v>44.344292311959776</v>
      </c>
      <c r="I5" s="2" t="s">
        <v>200</v>
      </c>
      <c r="J5" s="2" t="s">
        <v>204</v>
      </c>
      <c r="K5" s="2">
        <f>K8/K9</f>
        <v>0.24261350457674274</v>
      </c>
    </row>
    <row r="6" spans="2:11">
      <c r="G6" s="7" t="s">
        <v>205</v>
      </c>
      <c r="H6" s="2">
        <f>H4+C2</f>
        <v>252.42135623730951</v>
      </c>
      <c r="I6" s="2"/>
      <c r="J6" s="2"/>
      <c r="K6" s="2"/>
    </row>
    <row r="8" spans="2:11">
      <c r="J8" s="2" t="s">
        <v>206</v>
      </c>
      <c r="K8" s="2">
        <f>D74</f>
        <v>0.4506994473871816</v>
      </c>
    </row>
    <row r="9" spans="2:11">
      <c r="J9" s="2" t="s">
        <v>190</v>
      </c>
      <c r="K9" s="2">
        <f>H2</f>
        <v>1.8576849140094662</v>
      </c>
    </row>
    <row r="10" spans="2:11">
      <c r="J10" s="2" t="s">
        <v>207</v>
      </c>
      <c r="K10" s="2">
        <f>C76</f>
        <v>282.42135623730951</v>
      </c>
    </row>
    <row r="11" spans="2:11">
      <c r="J11" s="2" t="s">
        <v>208</v>
      </c>
      <c r="K11" s="2">
        <f>C78</f>
        <v>252.42135623730951</v>
      </c>
    </row>
    <row r="17" spans="1:19">
      <c r="J17" s="6"/>
      <c r="K17" s="6"/>
    </row>
    <row r="18" spans="1:19">
      <c r="J18" s="6"/>
      <c r="K18" s="6"/>
    </row>
    <row r="19" spans="1:19">
      <c r="J19" s="6"/>
      <c r="K19" s="6"/>
    </row>
    <row r="20" spans="1:19">
      <c r="J20" s="6"/>
      <c r="K20" s="6"/>
    </row>
    <row r="29" spans="1:19">
      <c r="A29" s="11"/>
      <c r="B29" s="11"/>
      <c r="C29" s="11"/>
      <c r="D29" s="11"/>
      <c r="E29" s="11"/>
      <c r="F29" s="11"/>
      <c r="G29" s="11"/>
      <c r="H29" s="11"/>
      <c r="I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1"/>
      <c r="B30" s="12" t="s">
        <v>209</v>
      </c>
      <c r="C30" s="12">
        <f>C3/C5*C4</f>
        <v>111</v>
      </c>
      <c r="D30" s="12" t="s">
        <v>238</v>
      </c>
      <c r="E30" s="12">
        <f>C2*C31/(E3*E4)</f>
        <v>1.4069854666222847</v>
      </c>
      <c r="F30" s="11"/>
      <c r="G30" s="11"/>
      <c r="H30" s="11"/>
      <c r="I30" s="11"/>
      <c r="K30" s="11"/>
      <c r="L30" s="12" t="s">
        <v>209</v>
      </c>
      <c r="M30" s="12">
        <f>C3/C5*C4</f>
        <v>111</v>
      </c>
      <c r="N30" s="12" t="s">
        <v>213</v>
      </c>
      <c r="O30" s="12">
        <f>E3*M31*E4/C2</f>
        <v>0.56325640500377605</v>
      </c>
      <c r="P30" s="11"/>
      <c r="Q30" s="11"/>
      <c r="R30" s="11"/>
      <c r="S30" s="11"/>
    </row>
    <row r="31" spans="1:19">
      <c r="A31" s="11"/>
      <c r="B31" s="12" t="s">
        <v>210</v>
      </c>
      <c r="C31" s="12">
        <f>C30/(C30+C2)</f>
        <v>0.43974092229995509</v>
      </c>
      <c r="D31" s="12" t="s">
        <v>264</v>
      </c>
      <c r="E31" s="12">
        <f>C32-E30/2</f>
        <v>0.4506994473871816</v>
      </c>
      <c r="F31" s="11"/>
      <c r="G31" s="11"/>
      <c r="H31" s="11"/>
      <c r="I31" s="11"/>
      <c r="K31" s="11"/>
      <c r="L31" s="12" t="s">
        <v>240</v>
      </c>
      <c r="M31" s="12">
        <f>(2*C3*E2/(E3*E4))^0.5</f>
        <v>1.8021829118774952</v>
      </c>
      <c r="N31" s="12" t="s">
        <v>214</v>
      </c>
      <c r="O31" s="12">
        <f>E3*M31*E4/M30</f>
        <v>0.71762598833320079</v>
      </c>
      <c r="P31" s="11"/>
      <c r="Q31" s="11"/>
      <c r="R31" s="11"/>
      <c r="S31" s="11"/>
    </row>
    <row r="32" spans="1:19">
      <c r="A32" s="11"/>
      <c r="B32" s="12" t="s">
        <v>211</v>
      </c>
      <c r="C32" s="12">
        <f>C3*E2/(C2*C31)</f>
        <v>1.154192180698324</v>
      </c>
      <c r="D32" s="12" t="s">
        <v>263</v>
      </c>
      <c r="E32" s="12">
        <f>C32+E30/2</f>
        <v>1.8576849140094662</v>
      </c>
      <c r="F32" s="11"/>
      <c r="G32" s="11"/>
      <c r="H32" s="11"/>
      <c r="I32" s="11"/>
      <c r="K32" s="11"/>
      <c r="L32" s="12" t="s">
        <v>211</v>
      </c>
      <c r="M32" s="12">
        <f>M31/2</f>
        <v>0.90109145593874762</v>
      </c>
      <c r="N32" s="12" t="s">
        <v>215</v>
      </c>
      <c r="O32" s="12">
        <f>M31*(O30/3)^0.5</f>
        <v>0.78089260399778848</v>
      </c>
      <c r="P32" s="11"/>
      <c r="Q32" s="11"/>
      <c r="R32" s="11"/>
      <c r="S32" s="11"/>
    </row>
    <row r="33" spans="1:19">
      <c r="A33" s="11"/>
      <c r="B33" s="11"/>
      <c r="C33" s="11"/>
      <c r="D33" s="11"/>
      <c r="E33" s="11"/>
      <c r="F33" s="11"/>
      <c r="G33" s="11"/>
      <c r="H33" s="11"/>
      <c r="I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11"/>
      <c r="B34" s="11"/>
      <c r="C34" s="11"/>
      <c r="D34" s="11"/>
      <c r="E34" s="11"/>
      <c r="F34" s="11"/>
      <c r="G34" s="11"/>
      <c r="H34" s="11"/>
      <c r="I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11"/>
      <c r="B35" s="12" t="s">
        <v>174</v>
      </c>
      <c r="C35" s="12" t="s">
        <v>187</v>
      </c>
      <c r="D35" s="12" t="s">
        <v>212</v>
      </c>
      <c r="E35" s="11"/>
      <c r="F35" s="11"/>
      <c r="G35" s="11"/>
      <c r="H35" s="11"/>
      <c r="I35" s="11"/>
      <c r="K35" s="11"/>
      <c r="L35" s="12" t="s">
        <v>174</v>
      </c>
      <c r="M35" s="12" t="s">
        <v>187</v>
      </c>
      <c r="N35" s="12" t="s">
        <v>212</v>
      </c>
      <c r="O35" s="11"/>
      <c r="P35" s="11"/>
      <c r="Q35" s="11"/>
      <c r="R35" s="11"/>
      <c r="S35" s="11"/>
    </row>
    <row r="36" spans="1:19">
      <c r="A36" s="11"/>
      <c r="B36" s="12">
        <v>0</v>
      </c>
      <c r="C36" s="12">
        <v>0</v>
      </c>
      <c r="D36" s="12">
        <v>0</v>
      </c>
      <c r="E36" s="11"/>
      <c r="F36" s="11"/>
      <c r="G36" s="11"/>
      <c r="H36" s="11"/>
      <c r="I36" s="11"/>
      <c r="K36" s="11"/>
      <c r="L36" s="12">
        <v>0</v>
      </c>
      <c r="M36" s="12">
        <v>0</v>
      </c>
      <c r="N36" s="12">
        <v>0</v>
      </c>
      <c r="O36" s="11"/>
      <c r="P36" s="11"/>
      <c r="Q36" s="11"/>
      <c r="R36" s="11"/>
      <c r="S36" s="11"/>
    </row>
    <row r="37" spans="1:19">
      <c r="A37" s="11"/>
      <c r="B37" s="12">
        <v>0</v>
      </c>
      <c r="C37" s="12">
        <f>E31</f>
        <v>0.4506994473871816</v>
      </c>
      <c r="D37" s="12">
        <v>0</v>
      </c>
      <c r="E37" s="11"/>
      <c r="F37" s="11"/>
      <c r="G37" s="11"/>
      <c r="H37" s="11"/>
      <c r="I37" s="11"/>
      <c r="K37" s="11"/>
      <c r="L37" s="12">
        <f>O30</f>
        <v>0.56325640500377605</v>
      </c>
      <c r="M37" s="12">
        <f>M31</f>
        <v>1.8021829118774952</v>
      </c>
      <c r="N37" s="12">
        <v>0</v>
      </c>
      <c r="O37" s="11"/>
      <c r="P37" s="11"/>
      <c r="Q37" s="11"/>
      <c r="R37" s="11"/>
      <c r="S37" s="11"/>
    </row>
    <row r="38" spans="1:19">
      <c r="A38" s="11"/>
      <c r="B38" s="12">
        <f>C31</f>
        <v>0.43974092229995509</v>
      </c>
      <c r="C38" s="12">
        <f>E32</f>
        <v>1.8576849140094662</v>
      </c>
      <c r="D38" s="12">
        <v>0</v>
      </c>
      <c r="E38" s="11"/>
      <c r="F38" s="11"/>
      <c r="G38" s="11"/>
      <c r="H38" s="11"/>
      <c r="I38" s="11"/>
      <c r="K38" s="11"/>
      <c r="L38" s="12">
        <f>O30</f>
        <v>0.56325640500377605</v>
      </c>
      <c r="M38" s="12">
        <v>0</v>
      </c>
      <c r="N38" s="12">
        <f>M31</f>
        <v>1.8021829118774952</v>
      </c>
      <c r="O38" s="11"/>
      <c r="P38" s="11"/>
      <c r="Q38" s="11"/>
      <c r="R38" s="11"/>
      <c r="S38" s="11"/>
    </row>
    <row r="39" spans="1:19">
      <c r="A39" s="11"/>
      <c r="B39" s="12">
        <f>C31</f>
        <v>0.43974092229995509</v>
      </c>
      <c r="C39" s="12">
        <v>0</v>
      </c>
      <c r="D39" s="12">
        <f>E32</f>
        <v>1.8576849140094662</v>
      </c>
      <c r="E39" s="11"/>
      <c r="F39" s="11"/>
      <c r="G39" s="11"/>
      <c r="H39" s="11"/>
      <c r="I39" s="11"/>
      <c r="K39" s="11"/>
      <c r="L39" s="12">
        <f>O30+O31</f>
        <v>1.2808823933369768</v>
      </c>
      <c r="M39" s="12">
        <v>0</v>
      </c>
      <c r="N39" s="12">
        <v>0</v>
      </c>
      <c r="O39" s="11"/>
      <c r="P39" s="11"/>
      <c r="Q39" s="11"/>
      <c r="R39" s="11"/>
      <c r="S39" s="11"/>
    </row>
    <row r="40" spans="1:19">
      <c r="A40" s="11"/>
      <c r="B40" s="12">
        <v>1</v>
      </c>
      <c r="C40" s="12">
        <v>0</v>
      </c>
      <c r="D40" s="12">
        <f>E31</f>
        <v>0.4506994473871816</v>
      </c>
      <c r="E40" s="11"/>
      <c r="F40" s="11"/>
      <c r="G40" s="11"/>
      <c r="H40" s="11"/>
      <c r="I40" s="11"/>
      <c r="K40" s="11"/>
      <c r="L40" s="12">
        <v>1</v>
      </c>
      <c r="M40" s="12">
        <v>0</v>
      </c>
      <c r="N40" s="12">
        <v>0</v>
      </c>
      <c r="O40" s="11"/>
      <c r="P40" s="11"/>
      <c r="Q40" s="11"/>
      <c r="R40" s="11"/>
      <c r="S40" s="11"/>
    </row>
    <row r="41" spans="1:19">
      <c r="A41" s="11"/>
      <c r="B41" s="11"/>
      <c r="C41" s="11"/>
      <c r="D41" s="11"/>
      <c r="E41" s="11"/>
      <c r="F41" s="11"/>
      <c r="G41" s="11"/>
      <c r="H41" s="11"/>
      <c r="I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1"/>
      <c r="B42" s="11"/>
      <c r="C42" s="11"/>
      <c r="D42" s="11"/>
      <c r="E42" s="11"/>
      <c r="F42" s="11"/>
      <c r="G42" s="11"/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1"/>
      <c r="B43" s="11"/>
      <c r="C43" s="11"/>
      <c r="D43" s="11"/>
      <c r="E43" s="11"/>
      <c r="F43" s="11"/>
      <c r="G43" s="11"/>
      <c r="H43" s="11"/>
      <c r="I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11"/>
      <c r="B44" s="11"/>
      <c r="C44" s="11"/>
      <c r="D44" s="11"/>
      <c r="E44" s="11"/>
      <c r="F44" s="11"/>
      <c r="G44" s="11"/>
      <c r="H44" s="11"/>
      <c r="I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11"/>
      <c r="B45" s="11"/>
      <c r="C45" s="11"/>
      <c r="D45" s="11"/>
      <c r="E45" s="11"/>
      <c r="F45" s="11"/>
      <c r="G45" s="11"/>
      <c r="H45" s="11"/>
      <c r="I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11"/>
      <c r="B46" s="11"/>
      <c r="C46" s="11"/>
      <c r="D46" s="11"/>
      <c r="E46" s="11"/>
      <c r="F46" s="11"/>
      <c r="G46" s="11"/>
      <c r="H46" s="11"/>
      <c r="I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11"/>
      <c r="B47" s="11"/>
      <c r="C47" s="11"/>
      <c r="D47" s="11"/>
      <c r="E47" s="11"/>
      <c r="F47" s="11"/>
      <c r="G47" s="11"/>
      <c r="H47" s="11"/>
      <c r="I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11"/>
      <c r="B48" s="11"/>
      <c r="C48" s="11"/>
      <c r="D48" s="11"/>
      <c r="E48" s="11"/>
      <c r="F48" s="11"/>
      <c r="G48" s="11"/>
      <c r="H48" s="11"/>
      <c r="I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1"/>
      <c r="B49" s="11"/>
      <c r="C49" s="11"/>
      <c r="D49" s="11"/>
      <c r="E49" s="11"/>
      <c r="F49" s="11"/>
      <c r="G49" s="11"/>
      <c r="H49" s="11"/>
      <c r="I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1"/>
      <c r="B50" s="11"/>
      <c r="C50" s="11"/>
      <c r="D50" s="11"/>
      <c r="E50" s="11"/>
      <c r="F50" s="11"/>
      <c r="G50" s="11"/>
      <c r="H50" s="11"/>
      <c r="I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1"/>
      <c r="B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1"/>
      <c r="B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1"/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1"/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1"/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1"/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>
      <c r="A58" s="11"/>
      <c r="B58" s="11"/>
      <c r="C58" s="11"/>
      <c r="D58" s="11"/>
      <c r="E58" s="11"/>
      <c r="F58" s="11"/>
      <c r="G58" s="13"/>
      <c r="H58" s="11"/>
      <c r="I58" s="11"/>
      <c r="K58" s="11"/>
      <c r="L58" s="11"/>
      <c r="M58" s="11"/>
      <c r="N58" s="11"/>
      <c r="O58" s="11"/>
      <c r="P58" s="11"/>
      <c r="Q58" s="13"/>
      <c r="R58" s="11"/>
      <c r="S58" s="11"/>
    </row>
    <row r="59" spans="1:19">
      <c r="A59" s="11"/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11"/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>
      <c r="A63" s="11"/>
      <c r="B63" s="11"/>
      <c r="C63" s="11"/>
      <c r="D63" s="11"/>
      <c r="E63" s="11"/>
      <c r="F63" s="11"/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" thickBot="1">
      <c r="A65" s="11"/>
      <c r="B65" s="11"/>
      <c r="C65" s="11"/>
      <c r="D65" s="11"/>
      <c r="E65" s="11"/>
      <c r="F65" s="11"/>
      <c r="G65" s="11"/>
      <c r="H65" s="11"/>
      <c r="I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 thickBot="1">
      <c r="A66" s="4"/>
      <c r="B66" s="16" t="s">
        <v>241</v>
      </c>
      <c r="C66" s="17">
        <f>IF(L39&gt;1,1,0)</f>
        <v>1</v>
      </c>
      <c r="D66" s="17" t="s">
        <v>242</v>
      </c>
      <c r="E66" s="18"/>
      <c r="F66" s="11"/>
      <c r="G66" s="11"/>
      <c r="H66" s="11"/>
      <c r="I66" s="11"/>
      <c r="J66" s="11"/>
      <c r="K66" s="11" t="s">
        <v>244</v>
      </c>
      <c r="L66" s="11"/>
    </row>
    <row r="67" spans="1:19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9">
      <c r="A68" s="4"/>
      <c r="B68" s="11" t="s">
        <v>213</v>
      </c>
      <c r="C68" s="11">
        <f>IF(L39&gt;1,B38,L37)</f>
        <v>0.43974092229995509</v>
      </c>
      <c r="D68" s="11"/>
      <c r="E68" s="11" t="s">
        <v>216</v>
      </c>
      <c r="F68" s="11">
        <f>IF(C66=1,C37,0)</f>
        <v>0.4506994473871816</v>
      </c>
      <c r="G68" s="11"/>
      <c r="H68" s="11" t="s">
        <v>217</v>
      </c>
      <c r="I68" s="11">
        <f>F68*C4/C5</f>
        <v>2.5655199312808796</v>
      </c>
      <c r="J68" s="11"/>
      <c r="K68" s="11" t="s">
        <v>221</v>
      </c>
      <c r="L68" s="11">
        <f>(C68*(F70^2/3+F68*F69))^0.5</f>
        <v>0.81138645406803556</v>
      </c>
    </row>
    <row r="69" spans="1:19">
      <c r="A69" s="4"/>
      <c r="B69" s="11" t="s">
        <v>214</v>
      </c>
      <c r="C69" s="11">
        <f>IF(L39&gt;1,1,L39)</f>
        <v>1</v>
      </c>
      <c r="D69" s="11"/>
      <c r="E69" s="11" t="s">
        <v>218</v>
      </c>
      <c r="F69" s="11">
        <f>IF(C66=1,C38,M37)</f>
        <v>1.8576849140094662</v>
      </c>
      <c r="G69" s="11"/>
      <c r="H69" s="11" t="s">
        <v>219</v>
      </c>
      <c r="I69" s="11">
        <f>F69*C4/C5</f>
        <v>10.574514125900038</v>
      </c>
      <c r="J69" s="11"/>
      <c r="K69" s="11" t="s">
        <v>196</v>
      </c>
      <c r="L69" s="11">
        <f>(I71*(I70^2/3+I68*I69))^0.5</f>
        <v>5.2132929505104277</v>
      </c>
    </row>
    <row r="70" spans="1:19">
      <c r="A70" s="4"/>
      <c r="B70" s="11"/>
      <c r="C70" s="11"/>
      <c r="D70" s="11"/>
      <c r="E70" s="11" t="s">
        <v>246</v>
      </c>
      <c r="F70" s="11">
        <f>F69-F68</f>
        <v>1.4069854666222845</v>
      </c>
      <c r="G70" s="11"/>
      <c r="H70" s="11" t="s">
        <v>246</v>
      </c>
      <c r="I70" s="11">
        <f>I69-I68</f>
        <v>8.0089941946191576</v>
      </c>
      <c r="J70" s="11"/>
    </row>
    <row r="71" spans="1:19">
      <c r="A71" s="4"/>
      <c r="B71" s="11"/>
      <c r="C71" s="11"/>
      <c r="D71" s="11"/>
      <c r="E71" s="11"/>
      <c r="F71" s="11"/>
      <c r="G71" s="11"/>
      <c r="H71" s="11" t="s">
        <v>220</v>
      </c>
      <c r="I71" s="11">
        <f>C69-C68</f>
        <v>0.56025907770004491</v>
      </c>
      <c r="J71" s="11"/>
      <c r="K71" s="11" t="s">
        <v>222</v>
      </c>
      <c r="L71" s="14">
        <f>C76-C2-電流連続モード!G27</f>
        <v>111</v>
      </c>
    </row>
    <row r="72" spans="1:19">
      <c r="A72" s="3"/>
      <c r="B72" s="12" t="s">
        <v>174</v>
      </c>
      <c r="C72" s="12" t="s">
        <v>185</v>
      </c>
      <c r="D72" s="12" t="s">
        <v>186</v>
      </c>
      <c r="E72" s="11"/>
      <c r="F72" s="11"/>
      <c r="G72" s="11"/>
      <c r="H72" s="11"/>
      <c r="I72" s="11"/>
      <c r="J72" s="11"/>
      <c r="K72" s="11" t="s">
        <v>245</v>
      </c>
      <c r="L72" s="11">
        <f>C2/C4*C5+C3</f>
        <v>44.344292311959776</v>
      </c>
    </row>
    <row r="73" spans="1:19">
      <c r="A73" s="3"/>
      <c r="B73" s="12">
        <v>0</v>
      </c>
      <c r="C73" s="12">
        <v>0</v>
      </c>
      <c r="D73" s="12">
        <v>0</v>
      </c>
      <c r="E73" s="11"/>
      <c r="F73" s="11"/>
      <c r="G73" s="11"/>
      <c r="H73" s="11"/>
      <c r="I73" s="11"/>
      <c r="J73" s="11"/>
    </row>
    <row r="74" spans="1:19">
      <c r="A74" s="12">
        <v>0</v>
      </c>
      <c r="B74" s="12">
        <v>0</v>
      </c>
      <c r="C74" s="12">
        <v>0</v>
      </c>
      <c r="D74" s="12">
        <f>F68</f>
        <v>0.4506994473871816</v>
      </c>
      <c r="E74" s="11"/>
      <c r="F74" s="11"/>
      <c r="G74" s="11"/>
      <c r="H74" s="11"/>
      <c r="I74" s="11"/>
      <c r="J74" s="11"/>
      <c r="K74" s="11"/>
      <c r="L74" s="11"/>
    </row>
    <row r="75" spans="1:19">
      <c r="A75" s="12" t="s">
        <v>213</v>
      </c>
      <c r="B75" s="12">
        <f>C68</f>
        <v>0.43974092229995509</v>
      </c>
      <c r="C75" s="12">
        <v>0</v>
      </c>
      <c r="D75" s="12">
        <f>F69</f>
        <v>1.8576849140094662</v>
      </c>
      <c r="E75" s="11"/>
      <c r="F75" s="11"/>
      <c r="G75" s="11"/>
      <c r="H75" s="11"/>
      <c r="I75" s="11"/>
      <c r="J75" s="11"/>
      <c r="K75" s="11"/>
      <c r="L75" s="11"/>
    </row>
    <row r="76" spans="1:19">
      <c r="A76" s="12" t="s">
        <v>213</v>
      </c>
      <c r="B76" s="12">
        <f>C68</f>
        <v>0.43974092229995509</v>
      </c>
      <c r="C76" s="12">
        <f>C2+C3/C5*C4+電流臨界モード!G27</f>
        <v>282.42135623730951</v>
      </c>
      <c r="D76" s="12">
        <v>0</v>
      </c>
      <c r="E76" s="11"/>
      <c r="F76" s="11"/>
      <c r="G76" s="11"/>
      <c r="H76" s="11"/>
      <c r="I76" s="11"/>
      <c r="J76" s="11"/>
      <c r="K76" s="11"/>
      <c r="L76" s="11"/>
    </row>
    <row r="77" spans="1:19">
      <c r="A77" s="12"/>
      <c r="B77" s="12">
        <f>C68</f>
        <v>0.43974092229995509</v>
      </c>
      <c r="C77" s="12">
        <f>C2+C3/C5*C4</f>
        <v>252.42135623730951</v>
      </c>
      <c r="D77" s="12">
        <v>0</v>
      </c>
      <c r="E77" s="11"/>
      <c r="F77" s="11"/>
      <c r="G77" s="11"/>
      <c r="H77" s="11"/>
      <c r="I77" s="11"/>
      <c r="J77" s="11"/>
      <c r="K77" s="11"/>
      <c r="L77" s="11"/>
    </row>
    <row r="78" spans="1:19">
      <c r="A78" s="12" t="s">
        <v>214</v>
      </c>
      <c r="B78" s="12">
        <f>C69</f>
        <v>1</v>
      </c>
      <c r="C78" s="12">
        <f>C2+C3/C5*C4</f>
        <v>252.42135623730951</v>
      </c>
      <c r="D78" s="12">
        <v>0</v>
      </c>
      <c r="E78" s="11"/>
      <c r="F78" s="11"/>
      <c r="G78" s="11"/>
      <c r="H78" s="11"/>
      <c r="I78" s="11"/>
      <c r="J78" s="11"/>
      <c r="K78" s="11"/>
      <c r="L78" s="11"/>
    </row>
    <row r="79" spans="1:19">
      <c r="A79" s="12" t="s">
        <v>214</v>
      </c>
      <c r="B79" s="12">
        <f>C69</f>
        <v>1</v>
      </c>
      <c r="C79" s="20">
        <f>C2</f>
        <v>141.42135623730951</v>
      </c>
      <c r="D79" s="12">
        <v>0</v>
      </c>
      <c r="E79" s="11"/>
      <c r="F79" s="11"/>
      <c r="G79" s="11"/>
      <c r="H79" s="11"/>
      <c r="I79" s="11"/>
      <c r="J79" s="11"/>
      <c r="K79" s="11"/>
      <c r="L79" s="11"/>
    </row>
    <row r="80" spans="1:19">
      <c r="A80" s="12">
        <v>1</v>
      </c>
      <c r="B80" s="12">
        <v>1</v>
      </c>
      <c r="C80" s="20">
        <f>C2</f>
        <v>141.42135623730951</v>
      </c>
      <c r="D80" s="12">
        <v>0</v>
      </c>
      <c r="E80" s="11"/>
      <c r="F80" s="11"/>
      <c r="G80" s="11"/>
      <c r="H80" s="11"/>
      <c r="I80" s="11"/>
      <c r="J80" s="11"/>
      <c r="K80" s="11"/>
      <c r="L80" s="11"/>
    </row>
    <row r="81" spans="1:12">
      <c r="A81" s="12">
        <v>1</v>
      </c>
      <c r="B81" s="12">
        <v>1</v>
      </c>
      <c r="C81" s="12">
        <v>0</v>
      </c>
      <c r="D81" s="12">
        <v>0</v>
      </c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zoomScaleNormal="100" workbookViewId="0">
      <selection activeCell="C2" sqref="C2"/>
    </sheetView>
  </sheetViews>
  <sheetFormatPr defaultRowHeight="14.25"/>
  <cols>
    <col min="1" max="12" width="9" style="1"/>
    <col min="13" max="13" width="9.25" style="1" bestFit="1" customWidth="1"/>
    <col min="14" max="268" width="9" style="1"/>
    <col min="269" max="269" width="9.25" style="1" bestFit="1" customWidth="1"/>
    <col min="270" max="524" width="9" style="1"/>
    <col min="525" max="525" width="9.25" style="1" bestFit="1" customWidth="1"/>
    <col min="526" max="780" width="9" style="1"/>
    <col min="781" max="781" width="9.25" style="1" bestFit="1" customWidth="1"/>
    <col min="782" max="1036" width="9" style="1"/>
    <col min="1037" max="1037" width="9.25" style="1" bestFit="1" customWidth="1"/>
    <col min="1038" max="1292" width="9" style="1"/>
    <col min="1293" max="1293" width="9.25" style="1" bestFit="1" customWidth="1"/>
    <col min="1294" max="1548" width="9" style="1"/>
    <col min="1549" max="1549" width="9.25" style="1" bestFit="1" customWidth="1"/>
    <col min="1550" max="1804" width="9" style="1"/>
    <col min="1805" max="1805" width="9.25" style="1" bestFit="1" customWidth="1"/>
    <col min="1806" max="2060" width="9" style="1"/>
    <col min="2061" max="2061" width="9.25" style="1" bestFit="1" customWidth="1"/>
    <col min="2062" max="2316" width="9" style="1"/>
    <col min="2317" max="2317" width="9.25" style="1" bestFit="1" customWidth="1"/>
    <col min="2318" max="2572" width="9" style="1"/>
    <col min="2573" max="2573" width="9.25" style="1" bestFit="1" customWidth="1"/>
    <col min="2574" max="2828" width="9" style="1"/>
    <col min="2829" max="2829" width="9.25" style="1" bestFit="1" customWidth="1"/>
    <col min="2830" max="3084" width="9" style="1"/>
    <col min="3085" max="3085" width="9.25" style="1" bestFit="1" customWidth="1"/>
    <col min="3086" max="3340" width="9" style="1"/>
    <col min="3341" max="3341" width="9.25" style="1" bestFit="1" customWidth="1"/>
    <col min="3342" max="3596" width="9" style="1"/>
    <col min="3597" max="3597" width="9.25" style="1" bestFit="1" customWidth="1"/>
    <col min="3598" max="3852" width="9" style="1"/>
    <col min="3853" max="3853" width="9.25" style="1" bestFit="1" customWidth="1"/>
    <col min="3854" max="4108" width="9" style="1"/>
    <col min="4109" max="4109" width="9.25" style="1" bestFit="1" customWidth="1"/>
    <col min="4110" max="4364" width="9" style="1"/>
    <col min="4365" max="4365" width="9.25" style="1" bestFit="1" customWidth="1"/>
    <col min="4366" max="4620" width="9" style="1"/>
    <col min="4621" max="4621" width="9.25" style="1" bestFit="1" customWidth="1"/>
    <col min="4622" max="4876" width="9" style="1"/>
    <col min="4877" max="4877" width="9.25" style="1" bestFit="1" customWidth="1"/>
    <col min="4878" max="5132" width="9" style="1"/>
    <col min="5133" max="5133" width="9.25" style="1" bestFit="1" customWidth="1"/>
    <col min="5134" max="5388" width="9" style="1"/>
    <col min="5389" max="5389" width="9.25" style="1" bestFit="1" customWidth="1"/>
    <col min="5390" max="5644" width="9" style="1"/>
    <col min="5645" max="5645" width="9.25" style="1" bestFit="1" customWidth="1"/>
    <col min="5646" max="5900" width="9" style="1"/>
    <col min="5901" max="5901" width="9.25" style="1" bestFit="1" customWidth="1"/>
    <col min="5902" max="6156" width="9" style="1"/>
    <col min="6157" max="6157" width="9.25" style="1" bestFit="1" customWidth="1"/>
    <col min="6158" max="6412" width="9" style="1"/>
    <col min="6413" max="6413" width="9.25" style="1" bestFit="1" customWidth="1"/>
    <col min="6414" max="6668" width="9" style="1"/>
    <col min="6669" max="6669" width="9.25" style="1" bestFit="1" customWidth="1"/>
    <col min="6670" max="6924" width="9" style="1"/>
    <col min="6925" max="6925" width="9.25" style="1" bestFit="1" customWidth="1"/>
    <col min="6926" max="7180" width="9" style="1"/>
    <col min="7181" max="7181" width="9.25" style="1" bestFit="1" customWidth="1"/>
    <col min="7182" max="7436" width="9" style="1"/>
    <col min="7437" max="7437" width="9.25" style="1" bestFit="1" customWidth="1"/>
    <col min="7438" max="7692" width="9" style="1"/>
    <col min="7693" max="7693" width="9.25" style="1" bestFit="1" customWidth="1"/>
    <col min="7694" max="7948" width="9" style="1"/>
    <col min="7949" max="7949" width="9.25" style="1" bestFit="1" customWidth="1"/>
    <col min="7950" max="8204" width="9" style="1"/>
    <col min="8205" max="8205" width="9.25" style="1" bestFit="1" customWidth="1"/>
    <col min="8206" max="8460" width="9" style="1"/>
    <col min="8461" max="8461" width="9.25" style="1" bestFit="1" customWidth="1"/>
    <col min="8462" max="8716" width="9" style="1"/>
    <col min="8717" max="8717" width="9.25" style="1" bestFit="1" customWidth="1"/>
    <col min="8718" max="8972" width="9" style="1"/>
    <col min="8973" max="8973" width="9.25" style="1" bestFit="1" customWidth="1"/>
    <col min="8974" max="9228" width="9" style="1"/>
    <col min="9229" max="9229" width="9.25" style="1" bestFit="1" customWidth="1"/>
    <col min="9230" max="9484" width="9" style="1"/>
    <col min="9485" max="9485" width="9.25" style="1" bestFit="1" customWidth="1"/>
    <col min="9486" max="9740" width="9" style="1"/>
    <col min="9741" max="9741" width="9.25" style="1" bestFit="1" customWidth="1"/>
    <col min="9742" max="9996" width="9" style="1"/>
    <col min="9997" max="9997" width="9.25" style="1" bestFit="1" customWidth="1"/>
    <col min="9998" max="10252" width="9" style="1"/>
    <col min="10253" max="10253" width="9.25" style="1" bestFit="1" customWidth="1"/>
    <col min="10254" max="10508" width="9" style="1"/>
    <col min="10509" max="10509" width="9.25" style="1" bestFit="1" customWidth="1"/>
    <col min="10510" max="10764" width="9" style="1"/>
    <col min="10765" max="10765" width="9.25" style="1" bestFit="1" customWidth="1"/>
    <col min="10766" max="11020" width="9" style="1"/>
    <col min="11021" max="11021" width="9.25" style="1" bestFit="1" customWidth="1"/>
    <col min="11022" max="11276" width="9" style="1"/>
    <col min="11277" max="11277" width="9.25" style="1" bestFit="1" customWidth="1"/>
    <col min="11278" max="11532" width="9" style="1"/>
    <col min="11533" max="11533" width="9.25" style="1" bestFit="1" customWidth="1"/>
    <col min="11534" max="11788" width="9" style="1"/>
    <col min="11789" max="11789" width="9.25" style="1" bestFit="1" customWidth="1"/>
    <col min="11790" max="12044" width="9" style="1"/>
    <col min="12045" max="12045" width="9.25" style="1" bestFit="1" customWidth="1"/>
    <col min="12046" max="12300" width="9" style="1"/>
    <col min="12301" max="12301" width="9.25" style="1" bestFit="1" customWidth="1"/>
    <col min="12302" max="12556" width="9" style="1"/>
    <col min="12557" max="12557" width="9.25" style="1" bestFit="1" customWidth="1"/>
    <col min="12558" max="12812" width="9" style="1"/>
    <col min="12813" max="12813" width="9.25" style="1" bestFit="1" customWidth="1"/>
    <col min="12814" max="13068" width="9" style="1"/>
    <col min="13069" max="13069" width="9.25" style="1" bestFit="1" customWidth="1"/>
    <col min="13070" max="13324" width="9" style="1"/>
    <col min="13325" max="13325" width="9.25" style="1" bestFit="1" customWidth="1"/>
    <col min="13326" max="13580" width="9" style="1"/>
    <col min="13581" max="13581" width="9.25" style="1" bestFit="1" customWidth="1"/>
    <col min="13582" max="13836" width="9" style="1"/>
    <col min="13837" max="13837" width="9.25" style="1" bestFit="1" customWidth="1"/>
    <col min="13838" max="14092" width="9" style="1"/>
    <col min="14093" max="14093" width="9.25" style="1" bestFit="1" customWidth="1"/>
    <col min="14094" max="14348" width="9" style="1"/>
    <col min="14349" max="14349" width="9.25" style="1" bestFit="1" customWidth="1"/>
    <col min="14350" max="14604" width="9" style="1"/>
    <col min="14605" max="14605" width="9.25" style="1" bestFit="1" customWidth="1"/>
    <col min="14606" max="14860" width="9" style="1"/>
    <col min="14861" max="14861" width="9.25" style="1" bestFit="1" customWidth="1"/>
    <col min="14862" max="15116" width="9" style="1"/>
    <col min="15117" max="15117" width="9.25" style="1" bestFit="1" customWidth="1"/>
    <col min="15118" max="15372" width="9" style="1"/>
    <col min="15373" max="15373" width="9.25" style="1" bestFit="1" customWidth="1"/>
    <col min="15374" max="15628" width="9" style="1"/>
    <col min="15629" max="15629" width="9.25" style="1" bestFit="1" customWidth="1"/>
    <col min="15630" max="15884" width="9" style="1"/>
    <col min="15885" max="15885" width="9.25" style="1" bestFit="1" customWidth="1"/>
    <col min="15886" max="16140" width="9" style="1"/>
    <col min="16141" max="16141" width="9.25" style="1" bestFit="1" customWidth="1"/>
    <col min="16142" max="16384" width="9" style="1"/>
  </cols>
  <sheetData>
    <row r="1" spans="2:11">
      <c r="B1" s="10" t="s">
        <v>239</v>
      </c>
      <c r="C1" s="10"/>
      <c r="D1" s="8"/>
      <c r="E1" s="21" t="s">
        <v>251</v>
      </c>
    </row>
    <row r="2" spans="2:11">
      <c r="B2" s="7" t="s">
        <v>188</v>
      </c>
      <c r="C2" s="9">
        <f>電流連続モード!G15</f>
        <v>82.839545099028413</v>
      </c>
      <c r="D2" s="7" t="s">
        <v>189</v>
      </c>
      <c r="E2" s="7">
        <f>E5/C3</f>
        <v>3.6809116809116804</v>
      </c>
      <c r="F2" s="7">
        <f>電流連続モード!G6</f>
        <v>3.4</v>
      </c>
      <c r="G2" s="2" t="s">
        <v>190</v>
      </c>
      <c r="H2" s="2">
        <f>D75</f>
        <v>2.0497331873732612</v>
      </c>
      <c r="I2" s="2" t="s">
        <v>191</v>
      </c>
      <c r="J2" s="2" t="s">
        <v>192</v>
      </c>
      <c r="K2" s="2">
        <f>L68</f>
        <v>1.1687728648593394</v>
      </c>
    </row>
    <row r="3" spans="2:11">
      <c r="B3" s="7" t="s">
        <v>193</v>
      </c>
      <c r="C3" s="7">
        <f>電流連続モード!G5+電流連続モード!G24</f>
        <v>19.5</v>
      </c>
      <c r="D3" s="7" t="s">
        <v>194</v>
      </c>
      <c r="E3" s="7">
        <f>電流連続モード!G42/1000</f>
        <v>0.68</v>
      </c>
      <c r="G3" s="2" t="s">
        <v>195</v>
      </c>
      <c r="H3" s="2">
        <f>B75</f>
        <v>0.57263857043872302</v>
      </c>
      <c r="I3" s="2"/>
      <c r="J3" s="2" t="s">
        <v>196</v>
      </c>
      <c r="K3" s="2">
        <f>L69</f>
        <v>5.7474585892547241</v>
      </c>
    </row>
    <row r="4" spans="2:11">
      <c r="B4" s="7" t="s">
        <v>197</v>
      </c>
      <c r="C4" s="7">
        <f>電流連続モード!G52</f>
        <v>74</v>
      </c>
      <c r="D4" s="7" t="s">
        <v>198</v>
      </c>
      <c r="E4" s="7">
        <f>電流連続モード!G21</f>
        <v>65</v>
      </c>
      <c r="G4" s="2" t="s">
        <v>199</v>
      </c>
      <c r="H4" s="5">
        <f>L71</f>
        <v>111</v>
      </c>
      <c r="I4" s="2" t="s">
        <v>200</v>
      </c>
      <c r="J4" s="2" t="s">
        <v>201</v>
      </c>
      <c r="K4" s="2">
        <f>(K3^2-E2^2)^0.5</f>
        <v>4.4140876104270799</v>
      </c>
    </row>
    <row r="5" spans="2:11">
      <c r="B5" s="7" t="s">
        <v>202</v>
      </c>
      <c r="C5" s="7">
        <f>電流連続モード!G49</f>
        <v>13</v>
      </c>
      <c r="D5" s="7" t="s">
        <v>223</v>
      </c>
      <c r="E5" s="9">
        <f>電流連続モード!G19</f>
        <v>71.777777777777771</v>
      </c>
      <c r="G5" s="2" t="s">
        <v>203</v>
      </c>
      <c r="H5" s="2">
        <f>L72</f>
        <v>34.052893057937425</v>
      </c>
      <c r="I5" s="2" t="s">
        <v>200</v>
      </c>
      <c r="J5" s="2" t="s">
        <v>204</v>
      </c>
      <c r="K5" s="2">
        <f>K8/K9</f>
        <v>0.47640113072944418</v>
      </c>
    </row>
    <row r="6" spans="2:11">
      <c r="G6" s="7" t="s">
        <v>205</v>
      </c>
      <c r="H6" s="2">
        <f>H4+C2</f>
        <v>193.83954509902841</v>
      </c>
      <c r="I6" s="2"/>
      <c r="J6" s="2"/>
      <c r="K6" s="2"/>
    </row>
    <row r="8" spans="2:11">
      <c r="J8" s="2" t="s">
        <v>206</v>
      </c>
      <c r="K8" s="2">
        <f>D74</f>
        <v>0.97649520815828927</v>
      </c>
    </row>
    <row r="9" spans="2:11">
      <c r="J9" s="2" t="s">
        <v>190</v>
      </c>
      <c r="K9" s="2">
        <f>H2</f>
        <v>2.0497331873732612</v>
      </c>
    </row>
    <row r="10" spans="2:11">
      <c r="J10" s="2" t="s">
        <v>207</v>
      </c>
      <c r="K10" s="2">
        <f>C76</f>
        <v>223.83954509902841</v>
      </c>
    </row>
    <row r="11" spans="2:11">
      <c r="J11" s="2" t="s">
        <v>208</v>
      </c>
      <c r="K11" s="2">
        <f>C78</f>
        <v>193.83954509902841</v>
      </c>
    </row>
    <row r="17" spans="1:19">
      <c r="J17" s="6"/>
      <c r="K17" s="6"/>
    </row>
    <row r="18" spans="1:19">
      <c r="J18" s="6"/>
      <c r="K18" s="6"/>
    </row>
    <row r="19" spans="1:19">
      <c r="J19" s="6"/>
      <c r="K19" s="6"/>
    </row>
    <row r="20" spans="1:19">
      <c r="J20" s="6"/>
      <c r="K20" s="6"/>
    </row>
    <row r="29" spans="1:19">
      <c r="A29" s="11"/>
      <c r="B29" s="11"/>
      <c r="C29" s="11"/>
      <c r="D29" s="11"/>
      <c r="E29" s="11"/>
      <c r="F29" s="11"/>
      <c r="G29" s="11"/>
      <c r="H29" s="11"/>
      <c r="I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1"/>
      <c r="B30" s="12" t="s">
        <v>209</v>
      </c>
      <c r="C30" s="12">
        <f>C3/C5*C4</f>
        <v>111</v>
      </c>
      <c r="D30" s="12" t="s">
        <v>238</v>
      </c>
      <c r="E30" s="12">
        <f>C2*C31/(E3*E4)</f>
        <v>1.0732379792149718</v>
      </c>
      <c r="F30" s="11"/>
      <c r="G30" s="11"/>
      <c r="H30" s="11"/>
      <c r="I30" s="11"/>
      <c r="K30" s="11"/>
      <c r="L30" s="12" t="s">
        <v>209</v>
      </c>
      <c r="M30" s="12">
        <f>C3/C5*C4</f>
        <v>111</v>
      </c>
      <c r="N30" s="12" t="s">
        <v>213</v>
      </c>
      <c r="O30" s="12">
        <f>E3*M31*E4/C2</f>
        <v>0.96157559303062301</v>
      </c>
      <c r="P30" s="11"/>
      <c r="Q30" s="11"/>
      <c r="R30" s="11"/>
      <c r="S30" s="11"/>
    </row>
    <row r="31" spans="1:19">
      <c r="A31" s="11"/>
      <c r="B31" s="12" t="s">
        <v>210</v>
      </c>
      <c r="C31" s="12">
        <f>C30/(C30+C2)</f>
        <v>0.57263857043872302</v>
      </c>
      <c r="D31" s="12" t="s">
        <v>264</v>
      </c>
      <c r="E31" s="12">
        <f>C32-E30/2</f>
        <v>0.97649520815828927</v>
      </c>
      <c r="F31" s="11"/>
      <c r="G31" s="11"/>
      <c r="H31" s="11"/>
      <c r="I31" s="11"/>
      <c r="K31" s="11"/>
      <c r="L31" s="12" t="s">
        <v>248</v>
      </c>
      <c r="M31" s="12">
        <f>(2*C3*E2/(E3*E4))^0.5</f>
        <v>1.8021829118774952</v>
      </c>
      <c r="N31" s="12" t="s">
        <v>214</v>
      </c>
      <c r="O31" s="12">
        <f>E3*M31*E4/M30</f>
        <v>0.71762598833320079</v>
      </c>
      <c r="P31" s="11"/>
      <c r="Q31" s="11"/>
      <c r="R31" s="11"/>
      <c r="S31" s="11"/>
    </row>
    <row r="32" spans="1:19">
      <c r="A32" s="11"/>
      <c r="B32" s="12" t="s">
        <v>211</v>
      </c>
      <c r="C32" s="12">
        <f>C3*E2/(C2*C31)</f>
        <v>1.5131141977657752</v>
      </c>
      <c r="D32" s="12" t="s">
        <v>263</v>
      </c>
      <c r="E32" s="12">
        <f>C32+E30/2</f>
        <v>2.0497331873732612</v>
      </c>
      <c r="F32" s="11"/>
      <c r="G32" s="11"/>
      <c r="H32" s="11"/>
      <c r="I32" s="11"/>
      <c r="K32" s="11"/>
      <c r="L32" s="12" t="s">
        <v>211</v>
      </c>
      <c r="M32" s="12">
        <f>M31/2</f>
        <v>0.90109145593874762</v>
      </c>
      <c r="N32" s="12" t="s">
        <v>215</v>
      </c>
      <c r="O32" s="12">
        <f>M31*(O30/3)^0.5</f>
        <v>1.0203048610826191</v>
      </c>
      <c r="P32" s="11"/>
      <c r="Q32" s="11"/>
      <c r="R32" s="11"/>
      <c r="S32" s="11"/>
    </row>
    <row r="33" spans="1:19">
      <c r="A33" s="11"/>
      <c r="B33" s="11"/>
      <c r="C33" s="11"/>
      <c r="D33" s="11"/>
      <c r="E33" s="11"/>
      <c r="F33" s="11"/>
      <c r="G33" s="11"/>
      <c r="H33" s="11"/>
      <c r="I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11"/>
      <c r="B34" s="11"/>
      <c r="C34" s="11"/>
      <c r="D34" s="11"/>
      <c r="E34" s="11"/>
      <c r="F34" s="11"/>
      <c r="G34" s="11"/>
      <c r="H34" s="11"/>
      <c r="I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11"/>
      <c r="B35" s="12" t="s">
        <v>174</v>
      </c>
      <c r="C35" s="12" t="s">
        <v>187</v>
      </c>
      <c r="D35" s="12" t="s">
        <v>212</v>
      </c>
      <c r="E35" s="11"/>
      <c r="F35" s="11"/>
      <c r="G35" s="11"/>
      <c r="H35" s="11"/>
      <c r="I35" s="11"/>
      <c r="K35" s="11"/>
      <c r="L35" s="12" t="s">
        <v>174</v>
      </c>
      <c r="M35" s="12" t="s">
        <v>187</v>
      </c>
      <c r="N35" s="12" t="s">
        <v>212</v>
      </c>
      <c r="O35" s="11"/>
      <c r="P35" s="11"/>
      <c r="Q35" s="11"/>
      <c r="R35" s="11"/>
      <c r="S35" s="11"/>
    </row>
    <row r="36" spans="1:19">
      <c r="A36" s="11"/>
      <c r="B36" s="12">
        <v>0</v>
      </c>
      <c r="C36" s="12">
        <v>0</v>
      </c>
      <c r="D36" s="12">
        <v>0</v>
      </c>
      <c r="E36" s="11"/>
      <c r="F36" s="11"/>
      <c r="G36" s="11"/>
      <c r="H36" s="11"/>
      <c r="I36" s="11"/>
      <c r="K36" s="11"/>
      <c r="L36" s="12">
        <v>0</v>
      </c>
      <c r="M36" s="12">
        <v>0</v>
      </c>
      <c r="N36" s="12">
        <v>0</v>
      </c>
      <c r="O36" s="11"/>
      <c r="P36" s="11"/>
      <c r="Q36" s="11"/>
      <c r="R36" s="11"/>
      <c r="S36" s="11"/>
    </row>
    <row r="37" spans="1:19">
      <c r="A37" s="11"/>
      <c r="B37" s="12">
        <v>0</v>
      </c>
      <c r="C37" s="12">
        <f>E31</f>
        <v>0.97649520815828927</v>
      </c>
      <c r="D37" s="12">
        <v>0</v>
      </c>
      <c r="E37" s="11"/>
      <c r="F37" s="11"/>
      <c r="G37" s="11"/>
      <c r="H37" s="11"/>
      <c r="I37" s="11"/>
      <c r="K37" s="11"/>
      <c r="L37" s="12">
        <f>O30</f>
        <v>0.96157559303062301</v>
      </c>
      <c r="M37" s="12">
        <f>M31</f>
        <v>1.8021829118774952</v>
      </c>
      <c r="N37" s="12">
        <v>0</v>
      </c>
      <c r="O37" s="11"/>
      <c r="P37" s="11"/>
      <c r="Q37" s="11"/>
      <c r="R37" s="11"/>
      <c r="S37" s="11"/>
    </row>
    <row r="38" spans="1:19">
      <c r="A38" s="11"/>
      <c r="B38" s="12">
        <f>C31</f>
        <v>0.57263857043872302</v>
      </c>
      <c r="C38" s="12">
        <f>E32</f>
        <v>2.0497331873732612</v>
      </c>
      <c r="D38" s="12">
        <v>0</v>
      </c>
      <c r="E38" s="11"/>
      <c r="F38" s="11"/>
      <c r="G38" s="11"/>
      <c r="H38" s="11"/>
      <c r="I38" s="11"/>
      <c r="K38" s="11"/>
      <c r="L38" s="12">
        <f>O30</f>
        <v>0.96157559303062301</v>
      </c>
      <c r="M38" s="12">
        <v>0</v>
      </c>
      <c r="N38" s="12">
        <f>M31</f>
        <v>1.8021829118774952</v>
      </c>
      <c r="O38" s="11"/>
      <c r="P38" s="11"/>
      <c r="Q38" s="11"/>
      <c r="R38" s="11"/>
      <c r="S38" s="11"/>
    </row>
    <row r="39" spans="1:19">
      <c r="A39" s="11"/>
      <c r="B39" s="12">
        <f>C31</f>
        <v>0.57263857043872302</v>
      </c>
      <c r="C39" s="12">
        <v>0</v>
      </c>
      <c r="D39" s="12">
        <f>E32</f>
        <v>2.0497331873732612</v>
      </c>
      <c r="E39" s="11"/>
      <c r="F39" s="11"/>
      <c r="G39" s="11"/>
      <c r="H39" s="11"/>
      <c r="I39" s="11"/>
      <c r="K39" s="11"/>
      <c r="L39" s="12">
        <f>O30+O31</f>
        <v>1.6792015813638237</v>
      </c>
      <c r="M39" s="12">
        <v>0</v>
      </c>
      <c r="N39" s="12">
        <v>0</v>
      </c>
      <c r="O39" s="11"/>
      <c r="P39" s="11"/>
      <c r="Q39" s="11"/>
      <c r="R39" s="11"/>
      <c r="S39" s="11"/>
    </row>
    <row r="40" spans="1:19">
      <c r="A40" s="11"/>
      <c r="B40" s="12">
        <v>1</v>
      </c>
      <c r="C40" s="12">
        <v>0</v>
      </c>
      <c r="D40" s="12">
        <f>E31</f>
        <v>0.97649520815828927</v>
      </c>
      <c r="E40" s="11"/>
      <c r="F40" s="11"/>
      <c r="G40" s="11"/>
      <c r="H40" s="11"/>
      <c r="I40" s="11"/>
      <c r="K40" s="11"/>
      <c r="L40" s="12">
        <v>1</v>
      </c>
      <c r="M40" s="12">
        <v>0</v>
      </c>
      <c r="N40" s="12">
        <v>0</v>
      </c>
      <c r="O40" s="11"/>
      <c r="P40" s="11"/>
      <c r="Q40" s="11"/>
      <c r="R40" s="11"/>
      <c r="S40" s="11"/>
    </row>
    <row r="41" spans="1:19">
      <c r="A41" s="11"/>
      <c r="B41" s="11"/>
      <c r="C41" s="11"/>
      <c r="D41" s="11"/>
      <c r="E41" s="11"/>
      <c r="F41" s="11"/>
      <c r="G41" s="11"/>
      <c r="H41" s="11"/>
      <c r="I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1"/>
      <c r="B42" s="11"/>
      <c r="C42" s="11"/>
      <c r="D42" s="11"/>
      <c r="E42" s="11"/>
      <c r="F42" s="11"/>
      <c r="G42" s="11"/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1"/>
      <c r="B43" s="11"/>
      <c r="C43" s="11"/>
      <c r="D43" s="11"/>
      <c r="E43" s="11"/>
      <c r="F43" s="11"/>
      <c r="G43" s="11"/>
      <c r="H43" s="11"/>
      <c r="I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11"/>
      <c r="B44" s="11"/>
      <c r="C44" s="11"/>
      <c r="D44" s="11"/>
      <c r="E44" s="11"/>
      <c r="F44" s="11"/>
      <c r="G44" s="11"/>
      <c r="H44" s="11"/>
      <c r="I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11"/>
      <c r="B45" s="11"/>
      <c r="C45" s="11"/>
      <c r="D45" s="11"/>
      <c r="E45" s="11"/>
      <c r="F45" s="11"/>
      <c r="G45" s="11"/>
      <c r="H45" s="11"/>
      <c r="I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11"/>
      <c r="B46" s="11"/>
      <c r="C46" s="11"/>
      <c r="D46" s="11"/>
      <c r="E46" s="11"/>
      <c r="F46" s="11"/>
      <c r="G46" s="11"/>
      <c r="H46" s="11"/>
      <c r="I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11"/>
      <c r="B47" s="11"/>
      <c r="C47" s="11"/>
      <c r="D47" s="11"/>
      <c r="E47" s="11"/>
      <c r="F47" s="11"/>
      <c r="G47" s="11"/>
      <c r="H47" s="11"/>
      <c r="I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11"/>
      <c r="B48" s="11"/>
      <c r="C48" s="11"/>
      <c r="D48" s="11"/>
      <c r="E48" s="11"/>
      <c r="F48" s="11"/>
      <c r="G48" s="11"/>
      <c r="H48" s="11"/>
      <c r="I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1"/>
      <c r="B49" s="11"/>
      <c r="C49" s="11"/>
      <c r="D49" s="11"/>
      <c r="E49" s="11"/>
      <c r="F49" s="11"/>
      <c r="G49" s="11"/>
      <c r="H49" s="11"/>
      <c r="I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1"/>
      <c r="B50" s="11"/>
      <c r="C50" s="11"/>
      <c r="D50" s="11"/>
      <c r="E50" s="11"/>
      <c r="F50" s="11"/>
      <c r="G50" s="11"/>
      <c r="H50" s="11"/>
      <c r="I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1"/>
      <c r="B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1"/>
      <c r="B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1"/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1"/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1"/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1"/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>
      <c r="A58" s="11"/>
      <c r="B58" s="11"/>
      <c r="C58" s="11"/>
      <c r="D58" s="11"/>
      <c r="E58" s="11"/>
      <c r="F58" s="11"/>
      <c r="G58" s="13"/>
      <c r="H58" s="11"/>
      <c r="I58" s="11"/>
      <c r="K58" s="11"/>
      <c r="L58" s="11"/>
      <c r="M58" s="11"/>
      <c r="N58" s="11"/>
      <c r="O58" s="11"/>
      <c r="P58" s="11"/>
      <c r="Q58" s="13"/>
      <c r="R58" s="11"/>
      <c r="S58" s="11"/>
    </row>
    <row r="59" spans="1:19">
      <c r="A59" s="11"/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11"/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>
      <c r="A63" s="11"/>
      <c r="B63" s="11"/>
      <c r="C63" s="11"/>
      <c r="D63" s="11"/>
      <c r="E63" s="11"/>
      <c r="F63" s="11"/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" thickBot="1">
      <c r="A65" s="11"/>
      <c r="B65" s="11"/>
      <c r="C65" s="11"/>
      <c r="D65" s="11"/>
      <c r="E65" s="11"/>
      <c r="F65" s="11"/>
      <c r="G65" s="11"/>
      <c r="H65" s="11"/>
      <c r="I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 thickBot="1">
      <c r="A66" s="11"/>
      <c r="B66" s="16" t="s">
        <v>241</v>
      </c>
      <c r="C66" s="17">
        <f>IF(L39&gt;1,1,0)</f>
        <v>1</v>
      </c>
      <c r="D66" s="17" t="s">
        <v>242</v>
      </c>
      <c r="E66" s="18"/>
      <c r="F66" s="11"/>
      <c r="G66" s="11"/>
      <c r="H66" s="11"/>
      <c r="I66" s="11"/>
      <c r="J66" s="11"/>
      <c r="K66" s="11" t="s">
        <v>244</v>
      </c>
      <c r="L66" s="11"/>
    </row>
    <row r="67" spans="1:1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9">
      <c r="A68" s="11"/>
      <c r="B68" s="11" t="s">
        <v>213</v>
      </c>
      <c r="C68" s="11">
        <f>IF(L39&gt;1,B38,L37)</f>
        <v>0.57263857043872302</v>
      </c>
      <c r="D68" s="11"/>
      <c r="E68" s="11" t="s">
        <v>216</v>
      </c>
      <c r="F68" s="11">
        <f>IF(C66=1,C37,0)</f>
        <v>0.97649520815828927</v>
      </c>
      <c r="G68" s="11"/>
      <c r="H68" s="11" t="s">
        <v>217</v>
      </c>
      <c r="I68" s="11">
        <f>F68*C4/C5</f>
        <v>5.5585111849010316</v>
      </c>
      <c r="J68" s="11"/>
      <c r="K68" s="11" t="s">
        <v>221</v>
      </c>
      <c r="L68" s="11">
        <f>(C68*(F70^2/3+F68*F69))^0.5</f>
        <v>1.1687728648593394</v>
      </c>
    </row>
    <row r="69" spans="1:19">
      <c r="A69" s="11"/>
      <c r="B69" s="11" t="s">
        <v>214</v>
      </c>
      <c r="C69" s="11">
        <f>IF(L39&gt;1,1,L39)</f>
        <v>1</v>
      </c>
      <c r="D69" s="11"/>
      <c r="E69" s="11" t="s">
        <v>218</v>
      </c>
      <c r="F69" s="11">
        <f>IF(C66=1,C38,M37)</f>
        <v>2.0497331873732612</v>
      </c>
      <c r="G69" s="11"/>
      <c r="H69" s="11" t="s">
        <v>219</v>
      </c>
      <c r="I69" s="11">
        <f>F69*C4/C5</f>
        <v>11.667711989663179</v>
      </c>
      <c r="J69" s="11"/>
      <c r="K69" s="11" t="s">
        <v>196</v>
      </c>
      <c r="L69" s="11">
        <f>(I71*(I70^2/3+I68*I69))^0.5</f>
        <v>5.7474585892547241</v>
      </c>
    </row>
    <row r="70" spans="1:19">
      <c r="A70" s="11"/>
      <c r="B70" s="11"/>
      <c r="C70" s="11"/>
      <c r="D70" s="11"/>
      <c r="E70" s="11" t="s">
        <v>243</v>
      </c>
      <c r="F70" s="11">
        <f>F69-F68</f>
        <v>1.073237979214972</v>
      </c>
      <c r="G70" s="11"/>
      <c r="H70" s="11" t="s">
        <v>243</v>
      </c>
      <c r="I70" s="11">
        <f>I69-I68</f>
        <v>6.1092008047621471</v>
      </c>
      <c r="J70" s="11"/>
    </row>
    <row r="71" spans="1:19">
      <c r="A71" s="11"/>
      <c r="B71" s="11"/>
      <c r="C71" s="11"/>
      <c r="D71" s="11"/>
      <c r="E71" s="11"/>
      <c r="F71" s="11"/>
      <c r="G71" s="11"/>
      <c r="H71" s="11" t="s">
        <v>220</v>
      </c>
      <c r="I71" s="11">
        <f>C69-C68</f>
        <v>0.42736142956127698</v>
      </c>
      <c r="J71" s="11"/>
      <c r="K71" s="11" t="s">
        <v>222</v>
      </c>
      <c r="L71" s="14">
        <f>C76-C2-電流連続モード!G27</f>
        <v>111</v>
      </c>
    </row>
    <row r="72" spans="1:19">
      <c r="A72" s="12"/>
      <c r="B72" s="12" t="s">
        <v>174</v>
      </c>
      <c r="C72" s="12" t="s">
        <v>185</v>
      </c>
      <c r="D72" s="12" t="s">
        <v>186</v>
      </c>
      <c r="E72" s="11"/>
      <c r="F72" s="11"/>
      <c r="G72" s="11"/>
      <c r="H72" s="11"/>
      <c r="I72" s="11"/>
      <c r="J72" s="11"/>
      <c r="K72" s="11" t="s">
        <v>245</v>
      </c>
      <c r="L72" s="11">
        <f>C2/C4*C5+C3</f>
        <v>34.052893057937425</v>
      </c>
    </row>
    <row r="73" spans="1:19">
      <c r="A73" s="12"/>
      <c r="B73" s="12">
        <v>0</v>
      </c>
      <c r="C73" s="12">
        <v>0</v>
      </c>
      <c r="D73" s="12">
        <v>0</v>
      </c>
      <c r="E73" s="11"/>
      <c r="F73" s="11"/>
      <c r="G73" s="11"/>
      <c r="H73" s="11"/>
      <c r="I73" s="11"/>
      <c r="J73" s="11"/>
    </row>
    <row r="74" spans="1:19">
      <c r="A74" s="12">
        <v>0</v>
      </c>
      <c r="B74" s="12">
        <v>0</v>
      </c>
      <c r="C74" s="12">
        <v>0</v>
      </c>
      <c r="D74" s="12">
        <f>F68</f>
        <v>0.97649520815828927</v>
      </c>
      <c r="E74" s="11"/>
      <c r="F74" s="11"/>
      <c r="G74" s="11"/>
      <c r="H74" s="11"/>
      <c r="I74" s="11"/>
      <c r="J74" s="11"/>
      <c r="K74" s="11"/>
      <c r="L74" s="11"/>
    </row>
    <row r="75" spans="1:19">
      <c r="A75" s="12" t="s">
        <v>213</v>
      </c>
      <c r="B75" s="12">
        <f>C68</f>
        <v>0.57263857043872302</v>
      </c>
      <c r="C75" s="12">
        <v>0</v>
      </c>
      <c r="D75" s="12">
        <f>F69</f>
        <v>2.0497331873732612</v>
      </c>
      <c r="E75" s="11"/>
      <c r="F75" s="11"/>
      <c r="G75" s="11"/>
      <c r="H75" s="11"/>
      <c r="I75" s="11"/>
      <c r="J75" s="11"/>
      <c r="K75" s="11"/>
      <c r="L75" s="11"/>
    </row>
    <row r="76" spans="1:19">
      <c r="A76" s="12" t="s">
        <v>213</v>
      </c>
      <c r="B76" s="12">
        <f>C68</f>
        <v>0.57263857043872302</v>
      </c>
      <c r="C76" s="12">
        <f>C2+C3/C5*C4+電流臨界モード!G27</f>
        <v>223.83954509902841</v>
      </c>
      <c r="D76" s="12">
        <v>0</v>
      </c>
      <c r="E76" s="11"/>
      <c r="F76" s="11"/>
      <c r="G76" s="11"/>
      <c r="H76" s="11"/>
      <c r="I76" s="11"/>
      <c r="J76" s="11"/>
      <c r="K76" s="11"/>
      <c r="L76" s="11"/>
    </row>
    <row r="77" spans="1:19">
      <c r="A77" s="12"/>
      <c r="B77" s="12">
        <f>C68</f>
        <v>0.57263857043872302</v>
      </c>
      <c r="C77" s="12">
        <f>C2+C3/C5*C4</f>
        <v>193.83954509902841</v>
      </c>
      <c r="D77" s="12">
        <v>0</v>
      </c>
      <c r="E77" s="11"/>
      <c r="F77" s="11"/>
      <c r="G77" s="11"/>
      <c r="H77" s="11"/>
      <c r="I77" s="11"/>
      <c r="J77" s="11"/>
      <c r="K77" s="11"/>
      <c r="L77" s="11"/>
    </row>
    <row r="78" spans="1:19">
      <c r="A78" s="12" t="s">
        <v>214</v>
      </c>
      <c r="B78" s="12">
        <f>C69</f>
        <v>1</v>
      </c>
      <c r="C78" s="12">
        <f>C2+C3/C5*C4</f>
        <v>193.83954509902841</v>
      </c>
      <c r="D78" s="12">
        <v>0</v>
      </c>
      <c r="E78" s="11"/>
      <c r="F78" s="11"/>
      <c r="G78" s="11"/>
      <c r="H78" s="11"/>
      <c r="I78" s="11"/>
      <c r="J78" s="11"/>
      <c r="K78" s="11"/>
      <c r="L78" s="11"/>
    </row>
    <row r="79" spans="1:19">
      <c r="A79" s="12" t="s">
        <v>214</v>
      </c>
      <c r="B79" s="12">
        <f>C69</f>
        <v>1</v>
      </c>
      <c r="C79" s="20">
        <f>C2</f>
        <v>82.839545099028413</v>
      </c>
      <c r="D79" s="12">
        <v>0</v>
      </c>
      <c r="E79" s="11"/>
      <c r="F79" s="11"/>
      <c r="G79" s="11"/>
      <c r="H79" s="11"/>
      <c r="I79" s="11"/>
      <c r="J79" s="11"/>
      <c r="K79" s="11"/>
      <c r="L79" s="11"/>
    </row>
    <row r="80" spans="1:19">
      <c r="A80" s="12">
        <v>1</v>
      </c>
      <c r="B80" s="12">
        <v>1</v>
      </c>
      <c r="C80" s="20">
        <f>C2</f>
        <v>82.839545099028413</v>
      </c>
      <c r="D80" s="12">
        <v>0</v>
      </c>
      <c r="E80" s="11"/>
      <c r="F80" s="11"/>
      <c r="G80" s="11"/>
      <c r="H80" s="11"/>
      <c r="I80" s="11"/>
      <c r="J80" s="11"/>
      <c r="K80" s="11"/>
      <c r="L80" s="11"/>
    </row>
    <row r="81" spans="1:12">
      <c r="A81" s="12">
        <v>1</v>
      </c>
      <c r="B81" s="12">
        <v>1</v>
      </c>
      <c r="C81" s="12">
        <v>0</v>
      </c>
      <c r="D81" s="12">
        <v>0</v>
      </c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workbookViewId="0">
      <selection activeCell="K34" sqref="K34"/>
    </sheetView>
  </sheetViews>
  <sheetFormatPr defaultRowHeight="14.25"/>
  <cols>
    <col min="1" max="12" width="9" style="1"/>
    <col min="13" max="13" width="9.25" style="1" bestFit="1" customWidth="1"/>
    <col min="14" max="268" width="9" style="1"/>
    <col min="269" max="269" width="9.25" style="1" bestFit="1" customWidth="1"/>
    <col min="270" max="524" width="9" style="1"/>
    <col min="525" max="525" width="9.25" style="1" bestFit="1" customWidth="1"/>
    <col min="526" max="780" width="9" style="1"/>
    <col min="781" max="781" width="9.25" style="1" bestFit="1" customWidth="1"/>
    <col min="782" max="1036" width="9" style="1"/>
    <col min="1037" max="1037" width="9.25" style="1" bestFit="1" customWidth="1"/>
    <col min="1038" max="1292" width="9" style="1"/>
    <col min="1293" max="1293" width="9.25" style="1" bestFit="1" customWidth="1"/>
    <col min="1294" max="1548" width="9" style="1"/>
    <col min="1549" max="1549" width="9.25" style="1" bestFit="1" customWidth="1"/>
    <col min="1550" max="1804" width="9" style="1"/>
    <col min="1805" max="1805" width="9.25" style="1" bestFit="1" customWidth="1"/>
    <col min="1806" max="2060" width="9" style="1"/>
    <col min="2061" max="2061" width="9.25" style="1" bestFit="1" customWidth="1"/>
    <col min="2062" max="2316" width="9" style="1"/>
    <col min="2317" max="2317" width="9.25" style="1" bestFit="1" customWidth="1"/>
    <col min="2318" max="2572" width="9" style="1"/>
    <col min="2573" max="2573" width="9.25" style="1" bestFit="1" customWidth="1"/>
    <col min="2574" max="2828" width="9" style="1"/>
    <col min="2829" max="2829" width="9.25" style="1" bestFit="1" customWidth="1"/>
    <col min="2830" max="3084" width="9" style="1"/>
    <col min="3085" max="3085" width="9.25" style="1" bestFit="1" customWidth="1"/>
    <col min="3086" max="3340" width="9" style="1"/>
    <col min="3341" max="3341" width="9.25" style="1" bestFit="1" customWidth="1"/>
    <col min="3342" max="3596" width="9" style="1"/>
    <col min="3597" max="3597" width="9.25" style="1" bestFit="1" customWidth="1"/>
    <col min="3598" max="3852" width="9" style="1"/>
    <col min="3853" max="3853" width="9.25" style="1" bestFit="1" customWidth="1"/>
    <col min="3854" max="4108" width="9" style="1"/>
    <col min="4109" max="4109" width="9.25" style="1" bestFit="1" customWidth="1"/>
    <col min="4110" max="4364" width="9" style="1"/>
    <col min="4365" max="4365" width="9.25" style="1" bestFit="1" customWidth="1"/>
    <col min="4366" max="4620" width="9" style="1"/>
    <col min="4621" max="4621" width="9.25" style="1" bestFit="1" customWidth="1"/>
    <col min="4622" max="4876" width="9" style="1"/>
    <col min="4877" max="4877" width="9.25" style="1" bestFit="1" customWidth="1"/>
    <col min="4878" max="5132" width="9" style="1"/>
    <col min="5133" max="5133" width="9.25" style="1" bestFit="1" customWidth="1"/>
    <col min="5134" max="5388" width="9" style="1"/>
    <col min="5389" max="5389" width="9.25" style="1" bestFit="1" customWidth="1"/>
    <col min="5390" max="5644" width="9" style="1"/>
    <col min="5645" max="5645" width="9.25" style="1" bestFit="1" customWidth="1"/>
    <col min="5646" max="5900" width="9" style="1"/>
    <col min="5901" max="5901" width="9.25" style="1" bestFit="1" customWidth="1"/>
    <col min="5902" max="6156" width="9" style="1"/>
    <col min="6157" max="6157" width="9.25" style="1" bestFit="1" customWidth="1"/>
    <col min="6158" max="6412" width="9" style="1"/>
    <col min="6413" max="6413" width="9.25" style="1" bestFit="1" customWidth="1"/>
    <col min="6414" max="6668" width="9" style="1"/>
    <col min="6669" max="6669" width="9.25" style="1" bestFit="1" customWidth="1"/>
    <col min="6670" max="6924" width="9" style="1"/>
    <col min="6925" max="6925" width="9.25" style="1" bestFit="1" customWidth="1"/>
    <col min="6926" max="7180" width="9" style="1"/>
    <col min="7181" max="7181" width="9.25" style="1" bestFit="1" customWidth="1"/>
    <col min="7182" max="7436" width="9" style="1"/>
    <col min="7437" max="7437" width="9.25" style="1" bestFit="1" customWidth="1"/>
    <col min="7438" max="7692" width="9" style="1"/>
    <col min="7693" max="7693" width="9.25" style="1" bestFit="1" customWidth="1"/>
    <col min="7694" max="7948" width="9" style="1"/>
    <col min="7949" max="7949" width="9.25" style="1" bestFit="1" customWidth="1"/>
    <col min="7950" max="8204" width="9" style="1"/>
    <col min="8205" max="8205" width="9.25" style="1" bestFit="1" customWidth="1"/>
    <col min="8206" max="8460" width="9" style="1"/>
    <col min="8461" max="8461" width="9.25" style="1" bestFit="1" customWidth="1"/>
    <col min="8462" max="8716" width="9" style="1"/>
    <col min="8717" max="8717" width="9.25" style="1" bestFit="1" customWidth="1"/>
    <col min="8718" max="8972" width="9" style="1"/>
    <col min="8973" max="8973" width="9.25" style="1" bestFit="1" customWidth="1"/>
    <col min="8974" max="9228" width="9" style="1"/>
    <col min="9229" max="9229" width="9.25" style="1" bestFit="1" customWidth="1"/>
    <col min="9230" max="9484" width="9" style="1"/>
    <col min="9485" max="9485" width="9.25" style="1" bestFit="1" customWidth="1"/>
    <col min="9486" max="9740" width="9" style="1"/>
    <col min="9741" max="9741" width="9.25" style="1" bestFit="1" customWidth="1"/>
    <col min="9742" max="9996" width="9" style="1"/>
    <col min="9997" max="9997" width="9.25" style="1" bestFit="1" customWidth="1"/>
    <col min="9998" max="10252" width="9" style="1"/>
    <col min="10253" max="10253" width="9.25" style="1" bestFit="1" customWidth="1"/>
    <col min="10254" max="10508" width="9" style="1"/>
    <col min="10509" max="10509" width="9.25" style="1" bestFit="1" customWidth="1"/>
    <col min="10510" max="10764" width="9" style="1"/>
    <col min="10765" max="10765" width="9.25" style="1" bestFit="1" customWidth="1"/>
    <col min="10766" max="11020" width="9" style="1"/>
    <col min="11021" max="11021" width="9.25" style="1" bestFit="1" customWidth="1"/>
    <col min="11022" max="11276" width="9" style="1"/>
    <col min="11277" max="11277" width="9.25" style="1" bestFit="1" customWidth="1"/>
    <col min="11278" max="11532" width="9" style="1"/>
    <col min="11533" max="11533" width="9.25" style="1" bestFit="1" customWidth="1"/>
    <col min="11534" max="11788" width="9" style="1"/>
    <col min="11789" max="11789" width="9.25" style="1" bestFit="1" customWidth="1"/>
    <col min="11790" max="12044" width="9" style="1"/>
    <col min="12045" max="12045" width="9.25" style="1" bestFit="1" customWidth="1"/>
    <col min="12046" max="12300" width="9" style="1"/>
    <col min="12301" max="12301" width="9.25" style="1" bestFit="1" customWidth="1"/>
    <col min="12302" max="12556" width="9" style="1"/>
    <col min="12557" max="12557" width="9.25" style="1" bestFit="1" customWidth="1"/>
    <col min="12558" max="12812" width="9" style="1"/>
    <col min="12813" max="12813" width="9.25" style="1" bestFit="1" customWidth="1"/>
    <col min="12814" max="13068" width="9" style="1"/>
    <col min="13069" max="13069" width="9.25" style="1" bestFit="1" customWidth="1"/>
    <col min="13070" max="13324" width="9" style="1"/>
    <col min="13325" max="13325" width="9.25" style="1" bestFit="1" customWidth="1"/>
    <col min="13326" max="13580" width="9" style="1"/>
    <col min="13581" max="13581" width="9.25" style="1" bestFit="1" customWidth="1"/>
    <col min="13582" max="13836" width="9" style="1"/>
    <col min="13837" max="13837" width="9.25" style="1" bestFit="1" customWidth="1"/>
    <col min="13838" max="14092" width="9" style="1"/>
    <col min="14093" max="14093" width="9.25" style="1" bestFit="1" customWidth="1"/>
    <col min="14094" max="14348" width="9" style="1"/>
    <col min="14349" max="14349" width="9.25" style="1" bestFit="1" customWidth="1"/>
    <col min="14350" max="14604" width="9" style="1"/>
    <col min="14605" max="14605" width="9.25" style="1" bestFit="1" customWidth="1"/>
    <col min="14606" max="14860" width="9" style="1"/>
    <col min="14861" max="14861" width="9.25" style="1" bestFit="1" customWidth="1"/>
    <col min="14862" max="15116" width="9" style="1"/>
    <col min="15117" max="15117" width="9.25" style="1" bestFit="1" customWidth="1"/>
    <col min="15118" max="15372" width="9" style="1"/>
    <col min="15373" max="15373" width="9.25" style="1" bestFit="1" customWidth="1"/>
    <col min="15374" max="15628" width="9" style="1"/>
    <col min="15629" max="15629" width="9.25" style="1" bestFit="1" customWidth="1"/>
    <col min="15630" max="15884" width="9" style="1"/>
    <col min="15885" max="15885" width="9.25" style="1" bestFit="1" customWidth="1"/>
    <col min="15886" max="16140" width="9" style="1"/>
    <col min="16141" max="16141" width="9.25" style="1" bestFit="1" customWidth="1"/>
    <col min="16142" max="16384" width="9" style="1"/>
  </cols>
  <sheetData>
    <row r="1" spans="2:11">
      <c r="B1" s="10" t="s">
        <v>239</v>
      </c>
      <c r="C1" s="10"/>
      <c r="D1" s="8"/>
      <c r="E1" s="21" t="s">
        <v>251</v>
      </c>
    </row>
    <row r="2" spans="2:11">
      <c r="B2" s="7" t="s">
        <v>188</v>
      </c>
      <c r="C2" s="7">
        <f>電流臨界モード!G70</f>
        <v>141.42135623730951</v>
      </c>
      <c r="D2" s="7" t="s">
        <v>189</v>
      </c>
      <c r="E2" s="7">
        <f>E5/C3</f>
        <v>3.6809116809116804</v>
      </c>
      <c r="F2" s="7">
        <f>電流臨界モード!G69</f>
        <v>3.4</v>
      </c>
      <c r="G2" s="2" t="s">
        <v>190</v>
      </c>
      <c r="H2" s="2">
        <f>D75</f>
        <v>2.3209265436127793</v>
      </c>
      <c r="I2" s="2" t="s">
        <v>191</v>
      </c>
      <c r="J2" s="2" t="s">
        <v>192</v>
      </c>
      <c r="K2" s="2">
        <f>L68</f>
        <v>0.8861812839642017</v>
      </c>
    </row>
    <row r="3" spans="2:11">
      <c r="B3" s="7" t="s">
        <v>193</v>
      </c>
      <c r="C3" s="7">
        <f>電流臨界モード!G5+電流臨界モード!G24</f>
        <v>19.5</v>
      </c>
      <c r="D3" s="7" t="s">
        <v>194</v>
      </c>
      <c r="E3" s="7">
        <f>電流臨界モード!G41/1000</f>
        <v>0.41</v>
      </c>
      <c r="G3" s="2" t="s">
        <v>195</v>
      </c>
      <c r="H3" s="2">
        <f>B75</f>
        <v>0.43736458221691626</v>
      </c>
      <c r="I3" s="2"/>
      <c r="J3" s="2" t="s">
        <v>196</v>
      </c>
      <c r="K3" s="2">
        <f>L69</f>
        <v>5.6810236875580067</v>
      </c>
    </row>
    <row r="4" spans="2:11">
      <c r="B4" s="7" t="s">
        <v>197</v>
      </c>
      <c r="C4" s="7">
        <f>電流臨界モード!G51</f>
        <v>51</v>
      </c>
      <c r="D4" s="7" t="s">
        <v>198</v>
      </c>
      <c r="E4" s="7">
        <f>電流臨界モード!G21</f>
        <v>65</v>
      </c>
      <c r="G4" s="2" t="s">
        <v>199</v>
      </c>
      <c r="H4" s="2">
        <f>L71</f>
        <v>110.5</v>
      </c>
      <c r="I4" s="2" t="s">
        <v>200</v>
      </c>
      <c r="J4" s="2" t="s">
        <v>201</v>
      </c>
      <c r="K4" s="2">
        <f>(K3^2-E2^2)^0.5</f>
        <v>4.3272299841726829</v>
      </c>
    </row>
    <row r="5" spans="2:11">
      <c r="B5" s="7" t="s">
        <v>202</v>
      </c>
      <c r="C5" s="7">
        <f>電流臨界モード!G48</f>
        <v>9</v>
      </c>
      <c r="D5" s="7" t="s">
        <v>223</v>
      </c>
      <c r="E5" s="7">
        <f>電流臨界モード!G72</f>
        <v>71.777777777777771</v>
      </c>
      <c r="G5" s="2" t="s">
        <v>203</v>
      </c>
      <c r="H5" s="2">
        <f>L72</f>
        <v>44.456709924231092</v>
      </c>
      <c r="I5" s="2" t="s">
        <v>200</v>
      </c>
      <c r="J5" s="2" t="s">
        <v>204</v>
      </c>
      <c r="K5" s="2">
        <f>K8/K9</f>
        <v>0</v>
      </c>
    </row>
    <row r="6" spans="2:11">
      <c r="G6" s="7" t="s">
        <v>205</v>
      </c>
      <c r="H6" s="2">
        <f>H4+C2</f>
        <v>251.92135623730951</v>
      </c>
      <c r="I6" s="2"/>
      <c r="J6" s="2"/>
      <c r="K6" s="2"/>
    </row>
    <row r="8" spans="2:11">
      <c r="J8" s="2" t="s">
        <v>206</v>
      </c>
      <c r="K8" s="2">
        <f>D74</f>
        <v>0</v>
      </c>
    </row>
    <row r="9" spans="2:11">
      <c r="J9" s="2" t="s">
        <v>190</v>
      </c>
      <c r="K9" s="2">
        <f>H2</f>
        <v>2.3209265436127793</v>
      </c>
    </row>
    <row r="10" spans="2:11">
      <c r="J10" s="2" t="s">
        <v>207</v>
      </c>
      <c r="K10" s="2">
        <f>C76</f>
        <v>281.92135623730951</v>
      </c>
    </row>
    <row r="11" spans="2:11">
      <c r="J11" s="2" t="s">
        <v>208</v>
      </c>
      <c r="K11" s="2">
        <f>C78</f>
        <v>251.92135623730951</v>
      </c>
    </row>
    <row r="17" spans="1:19">
      <c r="J17" s="6"/>
      <c r="K17" s="6"/>
    </row>
    <row r="18" spans="1:19">
      <c r="J18" s="6"/>
      <c r="K18" s="6"/>
    </row>
    <row r="19" spans="1:19">
      <c r="J19" s="6"/>
      <c r="K19" s="6"/>
    </row>
    <row r="20" spans="1:19">
      <c r="J20" s="6"/>
      <c r="K20" s="6"/>
    </row>
    <row r="29" spans="1:19">
      <c r="A29" s="11"/>
      <c r="B29" s="11"/>
      <c r="C29" s="11"/>
      <c r="D29" s="11"/>
      <c r="E29" s="11"/>
      <c r="F29" s="11"/>
      <c r="G29" s="11"/>
      <c r="H29" s="11"/>
      <c r="I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1"/>
      <c r="B30" s="12" t="s">
        <v>209</v>
      </c>
      <c r="C30" s="12">
        <f>C3/C5*C4</f>
        <v>110.49999999999999</v>
      </c>
      <c r="D30" s="12" t="s">
        <v>238</v>
      </c>
      <c r="E30" s="12">
        <f>C2*C31/(E3*E4)</f>
        <v>2.3276360604645125</v>
      </c>
      <c r="F30" s="11"/>
      <c r="G30" s="11"/>
      <c r="H30" s="11"/>
      <c r="I30" s="11"/>
      <c r="K30" s="11"/>
      <c r="L30" s="12" t="s">
        <v>209</v>
      </c>
      <c r="M30" s="12">
        <f>C3/C5*C4</f>
        <v>110.49999999999999</v>
      </c>
      <c r="N30" s="12" t="s">
        <v>213</v>
      </c>
      <c r="O30" s="12">
        <f>E3*M31*E4/C2</f>
        <v>0.43736458221691626</v>
      </c>
      <c r="P30" s="11"/>
      <c r="Q30" s="11"/>
      <c r="R30" s="11"/>
      <c r="S30" s="11"/>
    </row>
    <row r="31" spans="1:19">
      <c r="A31" s="11"/>
      <c r="B31" s="12" t="s">
        <v>210</v>
      </c>
      <c r="C31" s="12">
        <f>C30/(C30+C2)</f>
        <v>0.43862895012326453</v>
      </c>
      <c r="D31" s="12" t="s">
        <v>264</v>
      </c>
      <c r="E31" s="12">
        <f>C32-E30/2</f>
        <v>-6.6998466079291052E-3</v>
      </c>
      <c r="F31" s="11"/>
      <c r="G31" s="11"/>
      <c r="H31" s="11"/>
      <c r="I31" s="11"/>
      <c r="K31" s="11"/>
      <c r="L31" s="12" t="s">
        <v>247</v>
      </c>
      <c r="M31" s="12">
        <f>(2*C3*E2/(E3*E4))^0.5</f>
        <v>2.3209265436127793</v>
      </c>
      <c r="N31" s="12" t="s">
        <v>214</v>
      </c>
      <c r="O31" s="12">
        <f>E3*M31*E4/M30</f>
        <v>0.55975287228308213</v>
      </c>
      <c r="P31" s="11"/>
      <c r="Q31" s="11"/>
      <c r="R31" s="11"/>
      <c r="S31" s="11"/>
    </row>
    <row r="32" spans="1:19">
      <c r="A32" s="11"/>
      <c r="B32" s="12" t="s">
        <v>211</v>
      </c>
      <c r="C32" s="12">
        <f>C3*E2/(C2*C31)</f>
        <v>1.1571181836243272</v>
      </c>
      <c r="D32" s="12" t="s">
        <v>263</v>
      </c>
      <c r="E32" s="12">
        <f>C32+E30/2</f>
        <v>2.3209362138565837</v>
      </c>
      <c r="F32" s="11"/>
      <c r="G32" s="11"/>
      <c r="H32" s="11"/>
      <c r="I32" s="11"/>
      <c r="K32" s="11"/>
      <c r="L32" s="12" t="s">
        <v>211</v>
      </c>
      <c r="M32" s="12">
        <f>M31/2</f>
        <v>1.1604632718063896</v>
      </c>
      <c r="N32" s="12" t="s">
        <v>215</v>
      </c>
      <c r="O32" s="12">
        <f>M31*(O30/3)^0.5</f>
        <v>0.8861812839642017</v>
      </c>
      <c r="P32" s="11"/>
      <c r="Q32" s="11"/>
      <c r="R32" s="11"/>
      <c r="S32" s="11"/>
    </row>
    <row r="33" spans="1:19">
      <c r="A33" s="11"/>
      <c r="B33" s="11"/>
      <c r="C33" s="11"/>
      <c r="D33" s="11"/>
      <c r="E33" s="11"/>
      <c r="F33" s="11"/>
      <c r="G33" s="11"/>
      <c r="H33" s="11"/>
      <c r="I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11"/>
      <c r="B34" s="11"/>
      <c r="C34" s="11"/>
      <c r="D34" s="11"/>
      <c r="E34" s="11"/>
      <c r="F34" s="11"/>
      <c r="G34" s="11"/>
      <c r="H34" s="11"/>
      <c r="I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11"/>
      <c r="B35" s="12" t="s">
        <v>174</v>
      </c>
      <c r="C35" s="12" t="s">
        <v>187</v>
      </c>
      <c r="D35" s="12" t="s">
        <v>212</v>
      </c>
      <c r="E35" s="11"/>
      <c r="F35" s="11"/>
      <c r="G35" s="11"/>
      <c r="H35" s="11"/>
      <c r="I35" s="11"/>
      <c r="K35" s="11"/>
      <c r="L35" s="12" t="s">
        <v>174</v>
      </c>
      <c r="M35" s="12" t="s">
        <v>187</v>
      </c>
      <c r="N35" s="12" t="s">
        <v>212</v>
      </c>
      <c r="O35" s="11"/>
      <c r="P35" s="11"/>
      <c r="Q35" s="11"/>
      <c r="R35" s="11"/>
      <c r="S35" s="11"/>
    </row>
    <row r="36" spans="1:19">
      <c r="A36" s="11"/>
      <c r="B36" s="12">
        <v>0</v>
      </c>
      <c r="C36" s="12">
        <v>0</v>
      </c>
      <c r="D36" s="12">
        <v>0</v>
      </c>
      <c r="E36" s="11"/>
      <c r="F36" s="11"/>
      <c r="G36" s="11"/>
      <c r="H36" s="11"/>
      <c r="I36" s="11"/>
      <c r="K36" s="11"/>
      <c r="L36" s="12">
        <v>0</v>
      </c>
      <c r="M36" s="12">
        <v>0</v>
      </c>
      <c r="N36" s="12">
        <v>0</v>
      </c>
      <c r="O36" s="11"/>
      <c r="P36" s="11"/>
      <c r="Q36" s="11"/>
      <c r="R36" s="11"/>
      <c r="S36" s="11"/>
    </row>
    <row r="37" spans="1:19">
      <c r="A37" s="11"/>
      <c r="B37" s="12">
        <v>0</v>
      </c>
      <c r="C37" s="12">
        <f>E31</f>
        <v>-6.6998466079291052E-3</v>
      </c>
      <c r="D37" s="12">
        <v>0</v>
      </c>
      <c r="E37" s="11"/>
      <c r="F37" s="11"/>
      <c r="G37" s="11"/>
      <c r="H37" s="11"/>
      <c r="I37" s="11"/>
      <c r="K37" s="11"/>
      <c r="L37" s="12">
        <f>O30</f>
        <v>0.43736458221691626</v>
      </c>
      <c r="M37" s="12">
        <f>M31</f>
        <v>2.3209265436127793</v>
      </c>
      <c r="N37" s="12">
        <v>0</v>
      </c>
      <c r="O37" s="11"/>
      <c r="P37" s="11"/>
      <c r="Q37" s="11"/>
      <c r="R37" s="11"/>
      <c r="S37" s="11"/>
    </row>
    <row r="38" spans="1:19">
      <c r="A38" s="11"/>
      <c r="B38" s="12">
        <f>C31</f>
        <v>0.43862895012326453</v>
      </c>
      <c r="C38" s="12">
        <f>E32</f>
        <v>2.3209362138565837</v>
      </c>
      <c r="D38" s="12">
        <v>0</v>
      </c>
      <c r="E38" s="11"/>
      <c r="F38" s="11"/>
      <c r="G38" s="11"/>
      <c r="H38" s="11"/>
      <c r="I38" s="11"/>
      <c r="K38" s="11"/>
      <c r="L38" s="12">
        <f>O30</f>
        <v>0.43736458221691626</v>
      </c>
      <c r="M38" s="12">
        <v>0</v>
      </c>
      <c r="N38" s="12">
        <f>M31</f>
        <v>2.3209265436127793</v>
      </c>
      <c r="O38" s="11"/>
      <c r="P38" s="11"/>
      <c r="Q38" s="11"/>
      <c r="R38" s="11"/>
      <c r="S38" s="11"/>
    </row>
    <row r="39" spans="1:19">
      <c r="A39" s="11"/>
      <c r="B39" s="12">
        <f>C31</f>
        <v>0.43862895012326453</v>
      </c>
      <c r="C39" s="12">
        <v>0</v>
      </c>
      <c r="D39" s="12">
        <f>E32</f>
        <v>2.3209362138565837</v>
      </c>
      <c r="E39" s="11"/>
      <c r="F39" s="11"/>
      <c r="G39" s="11"/>
      <c r="H39" s="11"/>
      <c r="I39" s="11"/>
      <c r="K39" s="11"/>
      <c r="L39" s="12">
        <f>O30+O31</f>
        <v>0.99711745449999833</v>
      </c>
      <c r="M39" s="12">
        <v>0</v>
      </c>
      <c r="N39" s="12">
        <v>0</v>
      </c>
      <c r="O39" s="11"/>
      <c r="P39" s="11"/>
      <c r="Q39" s="11"/>
      <c r="R39" s="11"/>
      <c r="S39" s="11"/>
    </row>
    <row r="40" spans="1:19">
      <c r="A40" s="11"/>
      <c r="B40" s="12">
        <v>1</v>
      </c>
      <c r="C40" s="12">
        <v>0</v>
      </c>
      <c r="D40" s="12">
        <f>E31</f>
        <v>-6.6998466079291052E-3</v>
      </c>
      <c r="E40" s="11"/>
      <c r="F40" s="11"/>
      <c r="G40" s="11"/>
      <c r="H40" s="11"/>
      <c r="I40" s="11"/>
      <c r="K40" s="11"/>
      <c r="L40" s="12">
        <v>1</v>
      </c>
      <c r="M40" s="12">
        <v>0</v>
      </c>
      <c r="N40" s="12">
        <v>0</v>
      </c>
      <c r="O40" s="11"/>
      <c r="P40" s="11"/>
      <c r="Q40" s="11"/>
      <c r="R40" s="11"/>
      <c r="S40" s="11"/>
    </row>
    <row r="41" spans="1:19">
      <c r="A41" s="11"/>
      <c r="B41" s="11"/>
      <c r="C41" s="11"/>
      <c r="D41" s="11"/>
      <c r="E41" s="11"/>
      <c r="F41" s="11"/>
      <c r="G41" s="11"/>
      <c r="H41" s="11"/>
      <c r="I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1"/>
      <c r="B42" s="11"/>
      <c r="C42" s="11"/>
      <c r="D42" s="11"/>
      <c r="E42" s="11"/>
      <c r="F42" s="11"/>
      <c r="G42" s="11"/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1"/>
      <c r="B43" s="11"/>
      <c r="C43" s="11"/>
      <c r="D43" s="11"/>
      <c r="E43" s="11"/>
      <c r="F43" s="11"/>
      <c r="G43" s="11"/>
      <c r="H43" s="11"/>
      <c r="I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11"/>
      <c r="B44" s="11"/>
      <c r="C44" s="11"/>
      <c r="D44" s="11"/>
      <c r="E44" s="11"/>
      <c r="F44" s="11"/>
      <c r="G44" s="11"/>
      <c r="H44" s="11"/>
      <c r="I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11"/>
      <c r="B45" s="11"/>
      <c r="C45" s="11"/>
      <c r="D45" s="11"/>
      <c r="E45" s="11"/>
      <c r="F45" s="11"/>
      <c r="G45" s="11"/>
      <c r="H45" s="11"/>
      <c r="I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11"/>
      <c r="B46" s="11"/>
      <c r="C46" s="11"/>
      <c r="D46" s="11"/>
      <c r="E46" s="11"/>
      <c r="F46" s="11"/>
      <c r="G46" s="11"/>
      <c r="H46" s="11"/>
      <c r="I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11"/>
      <c r="B47" s="11"/>
      <c r="C47" s="11"/>
      <c r="D47" s="11"/>
      <c r="E47" s="11"/>
      <c r="F47" s="11"/>
      <c r="G47" s="11"/>
      <c r="H47" s="11"/>
      <c r="I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11"/>
      <c r="B48" s="11"/>
      <c r="C48" s="11"/>
      <c r="D48" s="11"/>
      <c r="E48" s="11"/>
      <c r="F48" s="11"/>
      <c r="G48" s="11"/>
      <c r="H48" s="11"/>
      <c r="I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1"/>
      <c r="B49" s="11"/>
      <c r="C49" s="11"/>
      <c r="D49" s="11"/>
      <c r="E49" s="11"/>
      <c r="F49" s="11"/>
      <c r="G49" s="11"/>
      <c r="H49" s="11"/>
      <c r="I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1"/>
      <c r="B50" s="11"/>
      <c r="C50" s="11"/>
      <c r="D50" s="11"/>
      <c r="E50" s="11"/>
      <c r="F50" s="11"/>
      <c r="G50" s="11"/>
      <c r="H50" s="11"/>
      <c r="I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1"/>
      <c r="B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1"/>
      <c r="B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1"/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1"/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1"/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1"/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>
      <c r="A58" s="11"/>
      <c r="B58" s="11"/>
      <c r="C58" s="11"/>
      <c r="D58" s="11"/>
      <c r="E58" s="11"/>
      <c r="F58" s="11"/>
      <c r="G58" s="13"/>
      <c r="H58" s="11"/>
      <c r="I58" s="11"/>
      <c r="K58" s="11"/>
      <c r="L58" s="11"/>
      <c r="M58" s="11"/>
      <c r="N58" s="11"/>
      <c r="O58" s="11"/>
      <c r="P58" s="11"/>
      <c r="Q58" s="13"/>
      <c r="R58" s="11"/>
      <c r="S58" s="11"/>
    </row>
    <row r="59" spans="1:19">
      <c r="A59" s="11"/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11"/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>
      <c r="A63" s="11"/>
      <c r="B63" s="11"/>
      <c r="C63" s="11"/>
      <c r="D63" s="11"/>
      <c r="E63" s="11"/>
      <c r="F63" s="11"/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" thickBot="1">
      <c r="A65" s="11"/>
      <c r="B65" s="11"/>
      <c r="C65" s="11"/>
      <c r="D65" s="11"/>
      <c r="E65" s="11"/>
      <c r="F65" s="11"/>
      <c r="G65" s="11"/>
      <c r="H65" s="11"/>
      <c r="I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 thickBot="1">
      <c r="A66" s="11"/>
      <c r="B66" s="16" t="s">
        <v>241</v>
      </c>
      <c r="C66" s="17">
        <f>IF(L39&gt;1,1,0)</f>
        <v>0</v>
      </c>
      <c r="D66" s="17" t="s">
        <v>242</v>
      </c>
      <c r="E66" s="18"/>
      <c r="F66" s="11"/>
      <c r="G66" s="11"/>
      <c r="H66" s="11"/>
      <c r="I66" s="11"/>
      <c r="J66" s="11"/>
      <c r="K66" s="11" t="s">
        <v>244</v>
      </c>
      <c r="L66" s="11"/>
    </row>
    <row r="67" spans="1:1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9">
      <c r="A68" s="11"/>
      <c r="B68" s="11" t="s">
        <v>213</v>
      </c>
      <c r="C68" s="11">
        <f>IF(L39&gt;1,B38,L37)</f>
        <v>0.43736458221691626</v>
      </c>
      <c r="D68" s="11"/>
      <c r="E68" s="11" t="s">
        <v>216</v>
      </c>
      <c r="F68" s="11">
        <f>IF(C66=1,C37,0)</f>
        <v>0</v>
      </c>
      <c r="G68" s="11"/>
      <c r="H68" s="11" t="s">
        <v>217</v>
      </c>
      <c r="I68" s="11">
        <f>F68*C4/C5</f>
        <v>0</v>
      </c>
      <c r="J68" s="11"/>
      <c r="K68" s="11" t="s">
        <v>221</v>
      </c>
      <c r="L68" s="11">
        <f>(C68*(F70^2/3+F68*F69))^0.5</f>
        <v>0.8861812839642017</v>
      </c>
    </row>
    <row r="69" spans="1:19">
      <c r="A69" s="11"/>
      <c r="B69" s="11" t="s">
        <v>214</v>
      </c>
      <c r="C69" s="11">
        <f>IF(L39&gt;1,1,L39)</f>
        <v>0.99711745449999833</v>
      </c>
      <c r="D69" s="11"/>
      <c r="E69" s="11" t="s">
        <v>218</v>
      </c>
      <c r="F69" s="11">
        <f>IF(C66=1,C38,M37)</f>
        <v>2.3209265436127793</v>
      </c>
      <c r="G69" s="11"/>
      <c r="H69" s="11" t="s">
        <v>219</v>
      </c>
      <c r="I69" s="11">
        <f>F69*C4/C5</f>
        <v>13.151917080472415</v>
      </c>
      <c r="J69" s="11"/>
      <c r="K69" s="11" t="s">
        <v>196</v>
      </c>
      <c r="L69" s="11">
        <f>(I71*(I70^2/3+I68*I69))^0.5</f>
        <v>5.6810236875580067</v>
      </c>
    </row>
    <row r="70" spans="1:19">
      <c r="A70" s="11"/>
      <c r="B70" s="11"/>
      <c r="C70" s="11"/>
      <c r="D70" s="11"/>
      <c r="E70" s="11" t="s">
        <v>243</v>
      </c>
      <c r="F70" s="11">
        <f>F69-F68</f>
        <v>2.3209265436127793</v>
      </c>
      <c r="G70" s="11"/>
      <c r="H70" s="11" t="s">
        <v>243</v>
      </c>
      <c r="I70" s="11">
        <f>I69-I68</f>
        <v>13.151917080472415</v>
      </c>
      <c r="J70" s="11"/>
    </row>
    <row r="71" spans="1:19">
      <c r="A71" s="11"/>
      <c r="B71" s="11"/>
      <c r="C71" s="11"/>
      <c r="D71" s="11"/>
      <c r="E71" s="11"/>
      <c r="F71" s="11"/>
      <c r="G71" s="11"/>
      <c r="H71" s="11" t="s">
        <v>220</v>
      </c>
      <c r="I71" s="11">
        <f>C69-C68</f>
        <v>0.55975287228308201</v>
      </c>
      <c r="J71" s="11"/>
      <c r="K71" s="11" t="s">
        <v>222</v>
      </c>
      <c r="L71" s="11">
        <f>C76-C2-電流臨界モード!G27</f>
        <v>110.5</v>
      </c>
    </row>
    <row r="72" spans="1:19">
      <c r="A72" s="12"/>
      <c r="B72" s="12" t="s">
        <v>174</v>
      </c>
      <c r="C72" s="12" t="s">
        <v>185</v>
      </c>
      <c r="D72" s="12" t="s">
        <v>186</v>
      </c>
      <c r="E72" s="11"/>
      <c r="F72" s="11"/>
      <c r="G72" s="11"/>
      <c r="H72" s="11"/>
      <c r="I72" s="11"/>
      <c r="J72" s="11"/>
      <c r="K72" s="11" t="s">
        <v>245</v>
      </c>
      <c r="L72" s="11">
        <f>C2/C4*C5+C3</f>
        <v>44.456709924231092</v>
      </c>
    </row>
    <row r="73" spans="1:19">
      <c r="A73" s="12"/>
      <c r="B73" s="12">
        <v>0</v>
      </c>
      <c r="C73" s="12">
        <v>0</v>
      </c>
      <c r="D73" s="12">
        <v>0</v>
      </c>
      <c r="E73" s="11"/>
      <c r="F73" s="11"/>
      <c r="G73" s="11"/>
      <c r="H73" s="11"/>
      <c r="I73" s="11"/>
      <c r="J73" s="11"/>
    </row>
    <row r="74" spans="1:19">
      <c r="A74" s="12">
        <v>0</v>
      </c>
      <c r="B74" s="12">
        <v>0</v>
      </c>
      <c r="C74" s="12">
        <v>0</v>
      </c>
      <c r="D74" s="12">
        <f>F68</f>
        <v>0</v>
      </c>
      <c r="E74" s="11"/>
      <c r="F74" s="11"/>
      <c r="G74" s="11"/>
      <c r="H74" s="11"/>
      <c r="I74" s="11"/>
      <c r="J74" s="11"/>
      <c r="K74" s="11"/>
      <c r="L74" s="11"/>
    </row>
    <row r="75" spans="1:19">
      <c r="A75" s="12" t="s">
        <v>213</v>
      </c>
      <c r="B75" s="12">
        <f>C68</f>
        <v>0.43736458221691626</v>
      </c>
      <c r="C75" s="12">
        <v>0</v>
      </c>
      <c r="D75" s="12">
        <f>F69</f>
        <v>2.3209265436127793</v>
      </c>
      <c r="E75" s="11"/>
      <c r="F75" s="11"/>
      <c r="G75" s="11"/>
      <c r="H75" s="11"/>
      <c r="I75" s="11"/>
      <c r="J75" s="11"/>
      <c r="K75" s="11"/>
      <c r="L75" s="11"/>
    </row>
    <row r="76" spans="1:19">
      <c r="A76" s="12" t="s">
        <v>213</v>
      </c>
      <c r="B76" s="12">
        <f>C68</f>
        <v>0.43736458221691626</v>
      </c>
      <c r="C76" s="12">
        <f>C2+C3/C5*C4+電流臨界モード!G27</f>
        <v>281.92135623730951</v>
      </c>
      <c r="D76" s="12">
        <v>0</v>
      </c>
      <c r="E76" s="11"/>
      <c r="F76" s="11"/>
      <c r="G76" s="11"/>
      <c r="H76" s="11"/>
      <c r="I76" s="11"/>
      <c r="J76" s="11"/>
      <c r="K76" s="11"/>
      <c r="L76" s="11"/>
    </row>
    <row r="77" spans="1:19">
      <c r="A77" s="12"/>
      <c r="B77" s="12">
        <f>C68</f>
        <v>0.43736458221691626</v>
      </c>
      <c r="C77" s="12">
        <f>C2+C3/C5*C4</f>
        <v>251.92135623730951</v>
      </c>
      <c r="D77" s="12">
        <v>0</v>
      </c>
      <c r="E77" s="11"/>
      <c r="F77" s="11"/>
      <c r="G77" s="11"/>
      <c r="H77" s="11"/>
      <c r="I77" s="11"/>
      <c r="J77" s="11"/>
      <c r="K77" s="11"/>
      <c r="L77" s="11"/>
    </row>
    <row r="78" spans="1:19">
      <c r="A78" s="12" t="s">
        <v>214</v>
      </c>
      <c r="B78" s="12">
        <f>C69</f>
        <v>0.99711745449999833</v>
      </c>
      <c r="C78" s="12">
        <f>C2+C3/C5*C4</f>
        <v>251.92135623730951</v>
      </c>
      <c r="D78" s="12">
        <v>0</v>
      </c>
      <c r="E78" s="11"/>
      <c r="F78" s="11"/>
      <c r="G78" s="11"/>
      <c r="H78" s="11"/>
      <c r="I78" s="11"/>
      <c r="J78" s="11"/>
      <c r="K78" s="11"/>
      <c r="L78" s="11"/>
    </row>
    <row r="79" spans="1:19">
      <c r="A79" s="12" t="s">
        <v>214</v>
      </c>
      <c r="B79" s="12">
        <f>C69</f>
        <v>0.99711745449999833</v>
      </c>
      <c r="C79" s="12">
        <f>C2</f>
        <v>141.42135623730951</v>
      </c>
      <c r="D79" s="12">
        <v>0</v>
      </c>
      <c r="E79" s="11"/>
      <c r="F79" s="11"/>
      <c r="G79" s="11"/>
      <c r="H79" s="11"/>
      <c r="I79" s="11"/>
      <c r="J79" s="11"/>
      <c r="K79" s="11"/>
      <c r="L79" s="11"/>
    </row>
    <row r="80" spans="1:19">
      <c r="A80" s="12">
        <v>1</v>
      </c>
      <c r="B80" s="12">
        <v>1</v>
      </c>
      <c r="C80" s="12">
        <f>C2</f>
        <v>141.42135623730951</v>
      </c>
      <c r="D80" s="12">
        <v>0</v>
      </c>
      <c r="E80" s="11"/>
      <c r="F80" s="11"/>
      <c r="G80" s="11"/>
      <c r="H80" s="11"/>
      <c r="I80" s="11"/>
      <c r="J80" s="11"/>
      <c r="K80" s="11"/>
      <c r="L80" s="11"/>
    </row>
    <row r="81" spans="1:12">
      <c r="A81" s="12">
        <v>1</v>
      </c>
      <c r="B81" s="12">
        <v>1</v>
      </c>
      <c r="C81" s="12">
        <v>0</v>
      </c>
      <c r="D81" s="12">
        <v>0</v>
      </c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opLeftCell="A52" workbookViewId="0">
      <selection activeCell="L69" sqref="L69"/>
    </sheetView>
  </sheetViews>
  <sheetFormatPr defaultRowHeight="14.25"/>
  <cols>
    <col min="1" max="12" width="9" style="1"/>
    <col min="13" max="13" width="9.25" style="1" bestFit="1" customWidth="1"/>
    <col min="14" max="268" width="9" style="1"/>
    <col min="269" max="269" width="9.25" style="1" bestFit="1" customWidth="1"/>
    <col min="270" max="524" width="9" style="1"/>
    <col min="525" max="525" width="9.25" style="1" bestFit="1" customWidth="1"/>
    <col min="526" max="780" width="9" style="1"/>
    <col min="781" max="781" width="9.25" style="1" bestFit="1" customWidth="1"/>
    <col min="782" max="1036" width="9" style="1"/>
    <col min="1037" max="1037" width="9.25" style="1" bestFit="1" customWidth="1"/>
    <col min="1038" max="1292" width="9" style="1"/>
    <col min="1293" max="1293" width="9.25" style="1" bestFit="1" customWidth="1"/>
    <col min="1294" max="1548" width="9" style="1"/>
    <col min="1549" max="1549" width="9.25" style="1" bestFit="1" customWidth="1"/>
    <col min="1550" max="1804" width="9" style="1"/>
    <col min="1805" max="1805" width="9.25" style="1" bestFit="1" customWidth="1"/>
    <col min="1806" max="2060" width="9" style="1"/>
    <col min="2061" max="2061" width="9.25" style="1" bestFit="1" customWidth="1"/>
    <col min="2062" max="2316" width="9" style="1"/>
    <col min="2317" max="2317" width="9.25" style="1" bestFit="1" customWidth="1"/>
    <col min="2318" max="2572" width="9" style="1"/>
    <col min="2573" max="2573" width="9.25" style="1" bestFit="1" customWidth="1"/>
    <col min="2574" max="2828" width="9" style="1"/>
    <col min="2829" max="2829" width="9.25" style="1" bestFit="1" customWidth="1"/>
    <col min="2830" max="3084" width="9" style="1"/>
    <col min="3085" max="3085" width="9.25" style="1" bestFit="1" customWidth="1"/>
    <col min="3086" max="3340" width="9" style="1"/>
    <col min="3341" max="3341" width="9.25" style="1" bestFit="1" customWidth="1"/>
    <col min="3342" max="3596" width="9" style="1"/>
    <col min="3597" max="3597" width="9.25" style="1" bestFit="1" customWidth="1"/>
    <col min="3598" max="3852" width="9" style="1"/>
    <col min="3853" max="3853" width="9.25" style="1" bestFit="1" customWidth="1"/>
    <col min="3854" max="4108" width="9" style="1"/>
    <col min="4109" max="4109" width="9.25" style="1" bestFit="1" customWidth="1"/>
    <col min="4110" max="4364" width="9" style="1"/>
    <col min="4365" max="4365" width="9.25" style="1" bestFit="1" customWidth="1"/>
    <col min="4366" max="4620" width="9" style="1"/>
    <col min="4621" max="4621" width="9.25" style="1" bestFit="1" customWidth="1"/>
    <col min="4622" max="4876" width="9" style="1"/>
    <col min="4877" max="4877" width="9.25" style="1" bestFit="1" customWidth="1"/>
    <col min="4878" max="5132" width="9" style="1"/>
    <col min="5133" max="5133" width="9.25" style="1" bestFit="1" customWidth="1"/>
    <col min="5134" max="5388" width="9" style="1"/>
    <col min="5389" max="5389" width="9.25" style="1" bestFit="1" customWidth="1"/>
    <col min="5390" max="5644" width="9" style="1"/>
    <col min="5645" max="5645" width="9.25" style="1" bestFit="1" customWidth="1"/>
    <col min="5646" max="5900" width="9" style="1"/>
    <col min="5901" max="5901" width="9.25" style="1" bestFit="1" customWidth="1"/>
    <col min="5902" max="6156" width="9" style="1"/>
    <col min="6157" max="6157" width="9.25" style="1" bestFit="1" customWidth="1"/>
    <col min="6158" max="6412" width="9" style="1"/>
    <col min="6413" max="6413" width="9.25" style="1" bestFit="1" customWidth="1"/>
    <col min="6414" max="6668" width="9" style="1"/>
    <col min="6669" max="6669" width="9.25" style="1" bestFit="1" customWidth="1"/>
    <col min="6670" max="6924" width="9" style="1"/>
    <col min="6925" max="6925" width="9.25" style="1" bestFit="1" customWidth="1"/>
    <col min="6926" max="7180" width="9" style="1"/>
    <col min="7181" max="7181" width="9.25" style="1" bestFit="1" customWidth="1"/>
    <col min="7182" max="7436" width="9" style="1"/>
    <col min="7437" max="7437" width="9.25" style="1" bestFit="1" customWidth="1"/>
    <col min="7438" max="7692" width="9" style="1"/>
    <col min="7693" max="7693" width="9.25" style="1" bestFit="1" customWidth="1"/>
    <col min="7694" max="7948" width="9" style="1"/>
    <col min="7949" max="7949" width="9.25" style="1" bestFit="1" customWidth="1"/>
    <col min="7950" max="8204" width="9" style="1"/>
    <col min="8205" max="8205" width="9.25" style="1" bestFit="1" customWidth="1"/>
    <col min="8206" max="8460" width="9" style="1"/>
    <col min="8461" max="8461" width="9.25" style="1" bestFit="1" customWidth="1"/>
    <col min="8462" max="8716" width="9" style="1"/>
    <col min="8717" max="8717" width="9.25" style="1" bestFit="1" customWidth="1"/>
    <col min="8718" max="8972" width="9" style="1"/>
    <col min="8973" max="8973" width="9.25" style="1" bestFit="1" customWidth="1"/>
    <col min="8974" max="9228" width="9" style="1"/>
    <col min="9229" max="9229" width="9.25" style="1" bestFit="1" customWidth="1"/>
    <col min="9230" max="9484" width="9" style="1"/>
    <col min="9485" max="9485" width="9.25" style="1" bestFit="1" customWidth="1"/>
    <col min="9486" max="9740" width="9" style="1"/>
    <col min="9741" max="9741" width="9.25" style="1" bestFit="1" customWidth="1"/>
    <col min="9742" max="9996" width="9" style="1"/>
    <col min="9997" max="9997" width="9.25" style="1" bestFit="1" customWidth="1"/>
    <col min="9998" max="10252" width="9" style="1"/>
    <col min="10253" max="10253" width="9.25" style="1" bestFit="1" customWidth="1"/>
    <col min="10254" max="10508" width="9" style="1"/>
    <col min="10509" max="10509" width="9.25" style="1" bestFit="1" customWidth="1"/>
    <col min="10510" max="10764" width="9" style="1"/>
    <col min="10765" max="10765" width="9.25" style="1" bestFit="1" customWidth="1"/>
    <col min="10766" max="11020" width="9" style="1"/>
    <col min="11021" max="11021" width="9.25" style="1" bestFit="1" customWidth="1"/>
    <col min="11022" max="11276" width="9" style="1"/>
    <col min="11277" max="11277" width="9.25" style="1" bestFit="1" customWidth="1"/>
    <col min="11278" max="11532" width="9" style="1"/>
    <col min="11533" max="11533" width="9.25" style="1" bestFit="1" customWidth="1"/>
    <col min="11534" max="11788" width="9" style="1"/>
    <col min="11789" max="11789" width="9.25" style="1" bestFit="1" customWidth="1"/>
    <col min="11790" max="12044" width="9" style="1"/>
    <col min="12045" max="12045" width="9.25" style="1" bestFit="1" customWidth="1"/>
    <col min="12046" max="12300" width="9" style="1"/>
    <col min="12301" max="12301" width="9.25" style="1" bestFit="1" customWidth="1"/>
    <col min="12302" max="12556" width="9" style="1"/>
    <col min="12557" max="12557" width="9.25" style="1" bestFit="1" customWidth="1"/>
    <col min="12558" max="12812" width="9" style="1"/>
    <col min="12813" max="12813" width="9.25" style="1" bestFit="1" customWidth="1"/>
    <col min="12814" max="13068" width="9" style="1"/>
    <col min="13069" max="13069" width="9.25" style="1" bestFit="1" customWidth="1"/>
    <col min="13070" max="13324" width="9" style="1"/>
    <col min="13325" max="13325" width="9.25" style="1" bestFit="1" customWidth="1"/>
    <col min="13326" max="13580" width="9" style="1"/>
    <col min="13581" max="13581" width="9.25" style="1" bestFit="1" customWidth="1"/>
    <col min="13582" max="13836" width="9" style="1"/>
    <col min="13837" max="13837" width="9.25" style="1" bestFit="1" customWidth="1"/>
    <col min="13838" max="14092" width="9" style="1"/>
    <col min="14093" max="14093" width="9.25" style="1" bestFit="1" customWidth="1"/>
    <col min="14094" max="14348" width="9" style="1"/>
    <col min="14349" max="14349" width="9.25" style="1" bestFit="1" customWidth="1"/>
    <col min="14350" max="14604" width="9" style="1"/>
    <col min="14605" max="14605" width="9.25" style="1" bestFit="1" customWidth="1"/>
    <col min="14606" max="14860" width="9" style="1"/>
    <col min="14861" max="14861" width="9.25" style="1" bestFit="1" customWidth="1"/>
    <col min="14862" max="15116" width="9" style="1"/>
    <col min="15117" max="15117" width="9.25" style="1" bestFit="1" customWidth="1"/>
    <col min="15118" max="15372" width="9" style="1"/>
    <col min="15373" max="15373" width="9.25" style="1" bestFit="1" customWidth="1"/>
    <col min="15374" max="15628" width="9" style="1"/>
    <col min="15629" max="15629" width="9.25" style="1" bestFit="1" customWidth="1"/>
    <col min="15630" max="15884" width="9" style="1"/>
    <col min="15885" max="15885" width="9.25" style="1" bestFit="1" customWidth="1"/>
    <col min="15886" max="16140" width="9" style="1"/>
    <col min="16141" max="16141" width="9.25" style="1" bestFit="1" customWidth="1"/>
    <col min="16142" max="16384" width="9" style="1"/>
  </cols>
  <sheetData>
    <row r="1" spans="2:11">
      <c r="B1" s="10" t="s">
        <v>239</v>
      </c>
      <c r="C1" s="10"/>
      <c r="D1" s="8"/>
      <c r="E1" s="21" t="s">
        <v>251</v>
      </c>
    </row>
    <row r="2" spans="2:11">
      <c r="B2" s="7" t="s">
        <v>188</v>
      </c>
      <c r="C2" s="9">
        <f>電流臨界モード!G15</f>
        <v>82.839545099028413</v>
      </c>
      <c r="D2" s="7" t="s">
        <v>189</v>
      </c>
      <c r="E2" s="7">
        <f>E5/C3</f>
        <v>3.6809116809116804</v>
      </c>
      <c r="F2" s="7">
        <f>電流臨界モード!G6</f>
        <v>3.4</v>
      </c>
      <c r="G2" s="2" t="s">
        <v>190</v>
      </c>
      <c r="H2" s="2">
        <f>D75</f>
        <v>2.4043246964439979</v>
      </c>
      <c r="I2" s="2" t="s">
        <v>191</v>
      </c>
      <c r="J2" s="2" t="s">
        <v>192</v>
      </c>
      <c r="K2" s="2">
        <f>L68</f>
        <v>1.209926574155334</v>
      </c>
    </row>
    <row r="3" spans="2:11">
      <c r="B3" s="7" t="s">
        <v>193</v>
      </c>
      <c r="C3" s="7">
        <f>電流臨界モード!G5+電流臨界モード!G24</f>
        <v>19.5</v>
      </c>
      <c r="D3" s="7" t="s">
        <v>194</v>
      </c>
      <c r="E3" s="7">
        <f>電流臨界モード!G41/1000</f>
        <v>0.41</v>
      </c>
      <c r="G3" s="2" t="s">
        <v>195</v>
      </c>
      <c r="H3" s="2">
        <f>B75</f>
        <v>0.57153336087245865</v>
      </c>
      <c r="I3" s="2"/>
      <c r="J3" s="2" t="s">
        <v>196</v>
      </c>
      <c r="K3" s="2">
        <f>L69</f>
        <v>5.9364169408287655</v>
      </c>
    </row>
    <row r="4" spans="2:11">
      <c r="B4" s="7" t="s">
        <v>197</v>
      </c>
      <c r="C4" s="7">
        <f>電流臨界モード!G51</f>
        <v>51</v>
      </c>
      <c r="D4" s="7" t="s">
        <v>198</v>
      </c>
      <c r="E4" s="7">
        <f>電流臨界モード!G21</f>
        <v>65</v>
      </c>
      <c r="G4" s="2" t="s">
        <v>199</v>
      </c>
      <c r="H4" s="19">
        <f>L71</f>
        <v>110.49999999999997</v>
      </c>
      <c r="I4" s="2" t="s">
        <v>200</v>
      </c>
      <c r="J4" s="2" t="s">
        <v>201</v>
      </c>
      <c r="K4" s="2">
        <f>(K3^2-E2^2)^0.5</f>
        <v>4.6574601761782901</v>
      </c>
    </row>
    <row r="5" spans="2:11">
      <c r="B5" s="7" t="s">
        <v>202</v>
      </c>
      <c r="C5" s="7">
        <f>電流臨界モード!G48</f>
        <v>9</v>
      </c>
      <c r="D5" s="7" t="s">
        <v>223</v>
      </c>
      <c r="E5" s="9">
        <f>電流臨界モード!G19</f>
        <v>71.777777777777771</v>
      </c>
      <c r="G5" s="2" t="s">
        <v>203</v>
      </c>
      <c r="H5" s="2">
        <f>L72</f>
        <v>34.118743252769718</v>
      </c>
      <c r="I5" s="2" t="s">
        <v>200</v>
      </c>
      <c r="J5" s="2" t="s">
        <v>204</v>
      </c>
      <c r="K5" s="2">
        <f>K8/K9</f>
        <v>0.26109439622194558</v>
      </c>
    </row>
    <row r="6" spans="2:11">
      <c r="G6" s="7" t="s">
        <v>205</v>
      </c>
      <c r="H6" s="2">
        <f>H4+C2</f>
        <v>193.33954509902838</v>
      </c>
      <c r="I6" s="2"/>
      <c r="J6" s="2"/>
      <c r="K6" s="2"/>
    </row>
    <row r="8" spans="2:11">
      <c r="J8" s="2" t="s">
        <v>206</v>
      </c>
      <c r="K8" s="2">
        <f>D74</f>
        <v>0.62775570493955823</v>
      </c>
    </row>
    <row r="9" spans="2:11">
      <c r="J9" s="2" t="s">
        <v>190</v>
      </c>
      <c r="K9" s="2">
        <f>H2</f>
        <v>2.4043246964439979</v>
      </c>
    </row>
    <row r="10" spans="2:11">
      <c r="J10" s="2" t="s">
        <v>207</v>
      </c>
      <c r="K10" s="2">
        <f>C76</f>
        <v>223.33954509902838</v>
      </c>
    </row>
    <row r="11" spans="2:11">
      <c r="J11" s="2" t="s">
        <v>208</v>
      </c>
      <c r="K11" s="2">
        <f>C78</f>
        <v>193.33954509902838</v>
      </c>
    </row>
    <row r="17" spans="1:19">
      <c r="J17" s="6"/>
      <c r="K17" s="6"/>
    </row>
    <row r="18" spans="1:19">
      <c r="J18" s="6"/>
      <c r="K18" s="6"/>
    </row>
    <row r="19" spans="1:19">
      <c r="J19" s="6"/>
      <c r="K19" s="6"/>
    </row>
    <row r="20" spans="1:19">
      <c r="J20" s="6"/>
      <c r="K20" s="6"/>
    </row>
    <row r="29" spans="1:19">
      <c r="A29" s="11"/>
      <c r="B29" s="11"/>
      <c r="C29" s="11"/>
      <c r="D29" s="11"/>
      <c r="E29" s="11"/>
      <c r="F29" s="11"/>
      <c r="G29" s="11"/>
      <c r="H29" s="11"/>
      <c r="I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>
      <c r="A30" s="11"/>
      <c r="B30" s="12" t="s">
        <v>209</v>
      </c>
      <c r="C30" s="12">
        <f>C3/C5*C4</f>
        <v>110.49999999999999</v>
      </c>
      <c r="D30" s="12" t="s">
        <v>238</v>
      </c>
      <c r="E30" s="12">
        <f>C2*C31/(E3*E4)</f>
        <v>1.7765689915044398</v>
      </c>
      <c r="F30" s="11"/>
      <c r="G30" s="11"/>
      <c r="H30" s="11"/>
      <c r="I30" s="11"/>
      <c r="K30" s="11"/>
      <c r="L30" s="12" t="s">
        <v>209</v>
      </c>
      <c r="M30" s="12">
        <f>C3/C5*C4</f>
        <v>110.49999999999999</v>
      </c>
      <c r="N30" s="12" t="s">
        <v>213</v>
      </c>
      <c r="O30" s="12">
        <f>E3*M31*E4/C2</f>
        <v>0.74665659152691322</v>
      </c>
      <c r="P30" s="11"/>
      <c r="Q30" s="11"/>
      <c r="R30" s="11"/>
      <c r="S30" s="11"/>
    </row>
    <row r="31" spans="1:19">
      <c r="A31" s="11"/>
      <c r="B31" s="12" t="s">
        <v>210</v>
      </c>
      <c r="C31" s="12">
        <f>C30/(C30+C2)</f>
        <v>0.57153336087245865</v>
      </c>
      <c r="D31" s="12" t="s">
        <v>264</v>
      </c>
      <c r="E31" s="12">
        <f>C32-E30/2</f>
        <v>0.62775570493955823</v>
      </c>
      <c r="F31" s="11"/>
      <c r="G31" s="11"/>
      <c r="H31" s="11"/>
      <c r="I31" s="11"/>
      <c r="K31" s="11"/>
      <c r="L31" s="12" t="s">
        <v>240</v>
      </c>
      <c r="M31" s="12">
        <f>(2*C3*E2/(E3*E4))^0.5</f>
        <v>2.3209265436127793</v>
      </c>
      <c r="N31" s="12" t="s">
        <v>214</v>
      </c>
      <c r="O31" s="12">
        <f>E3*M31*E4/M30</f>
        <v>0.55975287228308213</v>
      </c>
      <c r="P31" s="11"/>
      <c r="Q31" s="11"/>
      <c r="R31" s="11"/>
      <c r="S31" s="11"/>
    </row>
    <row r="32" spans="1:19">
      <c r="A32" s="11"/>
      <c r="B32" s="12" t="s">
        <v>211</v>
      </c>
      <c r="C32" s="12">
        <f>C3*E2/(C2*C31)</f>
        <v>1.5160402006917781</v>
      </c>
      <c r="D32" s="12" t="s">
        <v>263</v>
      </c>
      <c r="E32" s="12">
        <f>C32+E30/2</f>
        <v>2.4043246964439979</v>
      </c>
      <c r="F32" s="11"/>
      <c r="G32" s="11"/>
      <c r="H32" s="11"/>
      <c r="I32" s="11"/>
      <c r="K32" s="11"/>
      <c r="L32" s="12" t="s">
        <v>211</v>
      </c>
      <c r="M32" s="12">
        <f>M31/2</f>
        <v>1.1604632718063896</v>
      </c>
      <c r="N32" s="12" t="s">
        <v>215</v>
      </c>
      <c r="O32" s="12">
        <f>M31*(O30/3)^0.5</f>
        <v>1.1578737808505004</v>
      </c>
      <c r="P32" s="11"/>
      <c r="Q32" s="11"/>
      <c r="R32" s="11"/>
      <c r="S32" s="11"/>
    </row>
    <row r="33" spans="1:19">
      <c r="A33" s="11"/>
      <c r="B33" s="11"/>
      <c r="C33" s="11"/>
      <c r="D33" s="11"/>
      <c r="E33" s="11"/>
      <c r="F33" s="11"/>
      <c r="G33" s="11"/>
      <c r="H33" s="11"/>
      <c r="I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>
      <c r="A34" s="11"/>
      <c r="B34" s="11"/>
      <c r="C34" s="11"/>
      <c r="D34" s="11"/>
      <c r="E34" s="11"/>
      <c r="F34" s="11"/>
      <c r="G34" s="11"/>
      <c r="H34" s="11"/>
      <c r="I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>
      <c r="A35" s="11"/>
      <c r="B35" s="12" t="s">
        <v>174</v>
      </c>
      <c r="C35" s="12" t="s">
        <v>187</v>
      </c>
      <c r="D35" s="12" t="s">
        <v>212</v>
      </c>
      <c r="E35" s="11"/>
      <c r="F35" s="11"/>
      <c r="G35" s="11"/>
      <c r="H35" s="11"/>
      <c r="I35" s="11"/>
      <c r="K35" s="11"/>
      <c r="L35" s="12" t="s">
        <v>174</v>
      </c>
      <c r="M35" s="12" t="s">
        <v>187</v>
      </c>
      <c r="N35" s="12" t="s">
        <v>212</v>
      </c>
      <c r="O35" s="11"/>
      <c r="P35" s="11"/>
      <c r="Q35" s="11"/>
      <c r="R35" s="11"/>
      <c r="S35" s="11"/>
    </row>
    <row r="36" spans="1:19">
      <c r="A36" s="11"/>
      <c r="B36" s="12">
        <v>0</v>
      </c>
      <c r="C36" s="12">
        <v>0</v>
      </c>
      <c r="D36" s="12">
        <v>0</v>
      </c>
      <c r="E36" s="11"/>
      <c r="F36" s="11"/>
      <c r="G36" s="11"/>
      <c r="H36" s="11"/>
      <c r="I36" s="11"/>
      <c r="K36" s="11"/>
      <c r="L36" s="12">
        <v>0</v>
      </c>
      <c r="M36" s="12">
        <v>0</v>
      </c>
      <c r="N36" s="12">
        <v>0</v>
      </c>
      <c r="O36" s="11"/>
      <c r="P36" s="11"/>
      <c r="Q36" s="11"/>
      <c r="R36" s="11"/>
      <c r="S36" s="11"/>
    </row>
    <row r="37" spans="1:19">
      <c r="A37" s="11"/>
      <c r="B37" s="12">
        <v>0</v>
      </c>
      <c r="C37" s="12">
        <f>E31</f>
        <v>0.62775570493955823</v>
      </c>
      <c r="D37" s="12">
        <v>0</v>
      </c>
      <c r="E37" s="11"/>
      <c r="F37" s="11"/>
      <c r="G37" s="11"/>
      <c r="H37" s="11"/>
      <c r="I37" s="11"/>
      <c r="K37" s="11"/>
      <c r="L37" s="12">
        <f>O30</f>
        <v>0.74665659152691322</v>
      </c>
      <c r="M37" s="12">
        <f>M31</f>
        <v>2.3209265436127793</v>
      </c>
      <c r="N37" s="12">
        <v>0</v>
      </c>
      <c r="O37" s="11"/>
      <c r="P37" s="11"/>
      <c r="Q37" s="11"/>
      <c r="R37" s="11"/>
      <c r="S37" s="11"/>
    </row>
    <row r="38" spans="1:19">
      <c r="A38" s="11"/>
      <c r="B38" s="12">
        <f>C31</f>
        <v>0.57153336087245865</v>
      </c>
      <c r="C38" s="12">
        <f>E32</f>
        <v>2.4043246964439979</v>
      </c>
      <c r="D38" s="12">
        <v>0</v>
      </c>
      <c r="E38" s="11"/>
      <c r="F38" s="11"/>
      <c r="G38" s="11"/>
      <c r="H38" s="11"/>
      <c r="I38" s="11"/>
      <c r="K38" s="11"/>
      <c r="L38" s="12">
        <f>O30</f>
        <v>0.74665659152691322</v>
      </c>
      <c r="M38" s="12">
        <v>0</v>
      </c>
      <c r="N38" s="12">
        <f>M31</f>
        <v>2.3209265436127793</v>
      </c>
      <c r="O38" s="11"/>
      <c r="P38" s="11"/>
      <c r="Q38" s="11"/>
      <c r="R38" s="11"/>
      <c r="S38" s="11"/>
    </row>
    <row r="39" spans="1:19">
      <c r="A39" s="11"/>
      <c r="B39" s="12">
        <f>C31</f>
        <v>0.57153336087245865</v>
      </c>
      <c r="C39" s="12">
        <v>0</v>
      </c>
      <c r="D39" s="12">
        <f>E32</f>
        <v>2.4043246964439979</v>
      </c>
      <c r="E39" s="11"/>
      <c r="F39" s="11"/>
      <c r="G39" s="11"/>
      <c r="H39" s="11"/>
      <c r="I39" s="11"/>
      <c r="K39" s="11"/>
      <c r="L39" s="12">
        <f>O30+O31</f>
        <v>1.3064094638099952</v>
      </c>
      <c r="M39" s="12">
        <v>0</v>
      </c>
      <c r="N39" s="12">
        <v>0</v>
      </c>
      <c r="O39" s="11"/>
      <c r="P39" s="11"/>
      <c r="Q39" s="11"/>
      <c r="R39" s="11"/>
      <c r="S39" s="11"/>
    </row>
    <row r="40" spans="1:19">
      <c r="A40" s="11"/>
      <c r="B40" s="12">
        <v>1</v>
      </c>
      <c r="C40" s="12">
        <v>0</v>
      </c>
      <c r="D40" s="12">
        <f>E31</f>
        <v>0.62775570493955823</v>
      </c>
      <c r="E40" s="11"/>
      <c r="F40" s="11"/>
      <c r="G40" s="11"/>
      <c r="H40" s="11"/>
      <c r="I40" s="11"/>
      <c r="K40" s="11"/>
      <c r="L40" s="12">
        <v>1</v>
      </c>
      <c r="M40" s="12">
        <v>0</v>
      </c>
      <c r="N40" s="12">
        <v>0</v>
      </c>
      <c r="O40" s="11"/>
      <c r="P40" s="11"/>
      <c r="Q40" s="11"/>
      <c r="R40" s="11"/>
      <c r="S40" s="11"/>
    </row>
    <row r="41" spans="1:19">
      <c r="A41" s="11"/>
      <c r="B41" s="11"/>
      <c r="C41" s="11"/>
      <c r="D41" s="11"/>
      <c r="E41" s="11"/>
      <c r="F41" s="11"/>
      <c r="G41" s="11"/>
      <c r="H41" s="11"/>
      <c r="I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>
      <c r="A42" s="11"/>
      <c r="B42" s="11"/>
      <c r="C42" s="11"/>
      <c r="D42" s="11"/>
      <c r="E42" s="11"/>
      <c r="F42" s="11"/>
      <c r="G42" s="11"/>
      <c r="H42" s="11"/>
      <c r="I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>
      <c r="A43" s="11"/>
      <c r="B43" s="11"/>
      <c r="C43" s="11"/>
      <c r="D43" s="11"/>
      <c r="E43" s="11"/>
      <c r="F43" s="11"/>
      <c r="G43" s="11"/>
      <c r="H43" s="11"/>
      <c r="I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>
      <c r="A44" s="11"/>
      <c r="B44" s="11"/>
      <c r="C44" s="11"/>
      <c r="D44" s="11"/>
      <c r="E44" s="11"/>
      <c r="F44" s="11"/>
      <c r="G44" s="11"/>
      <c r="H44" s="11"/>
      <c r="I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>
      <c r="A45" s="11"/>
      <c r="B45" s="11"/>
      <c r="C45" s="11"/>
      <c r="D45" s="11"/>
      <c r="E45" s="11"/>
      <c r="F45" s="11"/>
      <c r="G45" s="11"/>
      <c r="H45" s="11"/>
      <c r="I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>
      <c r="A46" s="11"/>
      <c r="B46" s="11"/>
      <c r="C46" s="11"/>
      <c r="D46" s="11"/>
      <c r="E46" s="11"/>
      <c r="F46" s="11"/>
      <c r="G46" s="11"/>
      <c r="H46" s="11"/>
      <c r="I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>
      <c r="A47" s="11"/>
      <c r="B47" s="11"/>
      <c r="C47" s="11"/>
      <c r="D47" s="11"/>
      <c r="E47" s="11"/>
      <c r="F47" s="11"/>
      <c r="G47" s="11"/>
      <c r="H47" s="11"/>
      <c r="I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>
      <c r="A48" s="11"/>
      <c r="B48" s="11"/>
      <c r="C48" s="11"/>
      <c r="D48" s="11"/>
      <c r="E48" s="11"/>
      <c r="F48" s="11"/>
      <c r="G48" s="11"/>
      <c r="H48" s="11"/>
      <c r="I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>
      <c r="A49" s="11"/>
      <c r="B49" s="11"/>
      <c r="C49" s="11"/>
      <c r="D49" s="11"/>
      <c r="E49" s="11"/>
      <c r="F49" s="11"/>
      <c r="G49" s="11"/>
      <c r="H49" s="11"/>
      <c r="I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>
      <c r="A50" s="11"/>
      <c r="B50" s="11"/>
      <c r="C50" s="11"/>
      <c r="D50" s="11"/>
      <c r="E50" s="11"/>
      <c r="F50" s="11"/>
      <c r="G50" s="11"/>
      <c r="H50" s="11"/>
      <c r="I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>
      <c r="A51" s="11"/>
      <c r="B51" s="11"/>
      <c r="C51" s="11"/>
      <c r="D51" s="11"/>
      <c r="E51" s="11"/>
      <c r="F51" s="11"/>
      <c r="G51" s="11"/>
      <c r="H51" s="11"/>
      <c r="I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11"/>
      <c r="B52" s="11"/>
      <c r="C52" s="11"/>
      <c r="D52" s="11"/>
      <c r="E52" s="11"/>
      <c r="F52" s="11"/>
      <c r="G52" s="11"/>
      <c r="H52" s="11"/>
      <c r="I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>
      <c r="A53" s="11"/>
      <c r="B53" s="11"/>
      <c r="C53" s="11"/>
      <c r="D53" s="11"/>
      <c r="E53" s="11"/>
      <c r="F53" s="11"/>
      <c r="G53" s="11"/>
      <c r="H53" s="11"/>
      <c r="I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>
      <c r="A54" s="11"/>
      <c r="B54" s="11"/>
      <c r="C54" s="11"/>
      <c r="D54" s="11"/>
      <c r="E54" s="11"/>
      <c r="F54" s="11"/>
      <c r="G54" s="11"/>
      <c r="H54" s="11"/>
      <c r="I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>
      <c r="A55" s="11"/>
      <c r="B55" s="11"/>
      <c r="C55" s="11"/>
      <c r="D55" s="11"/>
      <c r="E55" s="11"/>
      <c r="F55" s="11"/>
      <c r="G55" s="11"/>
      <c r="H55" s="11"/>
      <c r="I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>
      <c r="A56" s="11"/>
      <c r="B56" s="11"/>
      <c r="C56" s="11"/>
      <c r="D56" s="11"/>
      <c r="E56" s="11"/>
      <c r="F56" s="11"/>
      <c r="G56" s="11"/>
      <c r="H56" s="11"/>
      <c r="I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>
      <c r="A57" s="11"/>
      <c r="B57" s="11"/>
      <c r="C57" s="11"/>
      <c r="D57" s="11"/>
      <c r="E57" s="11"/>
      <c r="F57" s="11"/>
      <c r="G57" s="11"/>
      <c r="H57" s="11"/>
      <c r="I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>
      <c r="A58" s="11"/>
      <c r="B58" s="11"/>
      <c r="C58" s="11"/>
      <c r="D58" s="11"/>
      <c r="E58" s="11"/>
      <c r="F58" s="11"/>
      <c r="G58" s="13"/>
      <c r="H58" s="11"/>
      <c r="I58" s="11"/>
      <c r="K58" s="11"/>
      <c r="L58" s="11"/>
      <c r="M58" s="11"/>
      <c r="N58" s="11"/>
      <c r="O58" s="11"/>
      <c r="P58" s="11"/>
      <c r="Q58" s="13"/>
      <c r="R58" s="11"/>
      <c r="S58" s="11"/>
    </row>
    <row r="59" spans="1:19">
      <c r="A59" s="11"/>
      <c r="B59" s="11"/>
      <c r="C59" s="11"/>
      <c r="D59" s="11"/>
      <c r="E59" s="11"/>
      <c r="F59" s="11"/>
      <c r="G59" s="11"/>
      <c r="H59" s="11"/>
      <c r="I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>
      <c r="A60" s="11"/>
      <c r="B60" s="11"/>
      <c r="C60" s="11"/>
      <c r="D60" s="11"/>
      <c r="E60" s="11"/>
      <c r="F60" s="11"/>
      <c r="G60" s="11"/>
      <c r="H60" s="11"/>
      <c r="I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>
      <c r="A61" s="11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>
      <c r="A62" s="11"/>
      <c r="B62" s="11"/>
      <c r="C62" s="11"/>
      <c r="D62" s="11"/>
      <c r="E62" s="11"/>
      <c r="F62" s="11"/>
      <c r="G62" s="11"/>
      <c r="H62" s="11"/>
      <c r="I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>
      <c r="A63" s="11"/>
      <c r="B63" s="11"/>
      <c r="C63" s="11"/>
      <c r="D63" s="11"/>
      <c r="E63" s="11"/>
      <c r="F63" s="11"/>
      <c r="G63" s="11"/>
      <c r="H63" s="11"/>
      <c r="I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>
      <c r="A64" s="11"/>
      <c r="B64" s="11"/>
      <c r="C64" s="11"/>
      <c r="D64" s="11"/>
      <c r="E64" s="11"/>
      <c r="F64" s="11"/>
      <c r="G64" s="11"/>
      <c r="H64" s="11"/>
      <c r="I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5" thickBot="1">
      <c r="A65" s="11"/>
      <c r="B65" s="11"/>
      <c r="C65" s="11"/>
      <c r="D65" s="11"/>
      <c r="E65" s="11"/>
      <c r="F65" s="11"/>
      <c r="G65" s="11"/>
      <c r="H65" s="11"/>
      <c r="I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5" thickBot="1">
      <c r="A66" s="11"/>
      <c r="B66" s="16" t="s">
        <v>241</v>
      </c>
      <c r="C66" s="17">
        <f>IF(L39&gt;1,1,0)</f>
        <v>1</v>
      </c>
      <c r="D66" s="17" t="s">
        <v>242</v>
      </c>
      <c r="E66" s="18"/>
      <c r="F66" s="11"/>
      <c r="G66" s="11"/>
      <c r="H66" s="11"/>
      <c r="I66" s="11"/>
      <c r="J66" s="11"/>
      <c r="K66" s="11" t="s">
        <v>244</v>
      </c>
      <c r="L66" s="11"/>
    </row>
    <row r="67" spans="1:1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9">
      <c r="A68" s="11"/>
      <c r="B68" s="11" t="s">
        <v>213</v>
      </c>
      <c r="C68" s="11">
        <f>IF(L39&gt;1,B38,L37)</f>
        <v>0.57153336087245865</v>
      </c>
      <c r="D68" s="11"/>
      <c r="E68" s="11" t="s">
        <v>216</v>
      </c>
      <c r="F68" s="11">
        <f>IF(C66=1,C37,0)</f>
        <v>0.62775570493955823</v>
      </c>
      <c r="G68" s="11"/>
      <c r="H68" s="11" t="s">
        <v>217</v>
      </c>
      <c r="I68" s="11">
        <f>F68*C4/C5</f>
        <v>3.5572823279908303</v>
      </c>
      <c r="J68" s="11"/>
      <c r="K68" s="11" t="s">
        <v>221</v>
      </c>
      <c r="L68" s="11">
        <f>(C68*(F70^2/3+F68*F69))^0.5</f>
        <v>1.209926574155334</v>
      </c>
    </row>
    <row r="69" spans="1:19">
      <c r="A69" s="11"/>
      <c r="B69" s="11" t="s">
        <v>214</v>
      </c>
      <c r="C69" s="11">
        <f>IF(L39&gt;1,1,L39)</f>
        <v>1</v>
      </c>
      <c r="D69" s="11"/>
      <c r="E69" s="11" t="s">
        <v>218</v>
      </c>
      <c r="F69" s="11">
        <f>IF(C66=1,C38,M37)</f>
        <v>2.4043246964439979</v>
      </c>
      <c r="G69" s="11"/>
      <c r="H69" s="11" t="s">
        <v>219</v>
      </c>
      <c r="I69" s="11">
        <f>F69*C4/C5</f>
        <v>13.624506613182655</v>
      </c>
      <c r="J69" s="11"/>
      <c r="K69" s="11" t="s">
        <v>196</v>
      </c>
      <c r="L69" s="11">
        <f>(I71*(I70^2/3+I68*I69))^0.5</f>
        <v>5.9364169408287655</v>
      </c>
    </row>
    <row r="70" spans="1:19">
      <c r="A70" s="11"/>
      <c r="B70" s="11"/>
      <c r="C70" s="11"/>
      <c r="D70" s="11"/>
      <c r="E70" s="11" t="s">
        <v>243</v>
      </c>
      <c r="F70" s="11">
        <f>F69-F68</f>
        <v>1.7765689915044396</v>
      </c>
      <c r="G70" s="11"/>
      <c r="H70" s="11" t="s">
        <v>243</v>
      </c>
      <c r="I70" s="11">
        <f>I69-I68</f>
        <v>10.067224285191825</v>
      </c>
      <c r="J70" s="11"/>
    </row>
    <row r="71" spans="1:19">
      <c r="A71" s="11"/>
      <c r="B71" s="11"/>
      <c r="C71" s="11"/>
      <c r="D71" s="11"/>
      <c r="E71" s="11"/>
      <c r="F71" s="11"/>
      <c r="G71" s="11"/>
      <c r="H71" s="11" t="s">
        <v>220</v>
      </c>
      <c r="I71" s="11">
        <f>C69-C68</f>
        <v>0.42846663912754135</v>
      </c>
      <c r="J71" s="11"/>
      <c r="K71" s="11" t="s">
        <v>222</v>
      </c>
      <c r="L71" s="15">
        <f>C76-C2-電流臨界モード!G27</f>
        <v>110.49999999999997</v>
      </c>
    </row>
    <row r="72" spans="1:19">
      <c r="A72" s="12"/>
      <c r="B72" s="12" t="s">
        <v>174</v>
      </c>
      <c r="C72" s="12" t="s">
        <v>185</v>
      </c>
      <c r="D72" s="12" t="s">
        <v>186</v>
      </c>
      <c r="E72" s="11"/>
      <c r="F72" s="11"/>
      <c r="G72" s="11"/>
      <c r="H72" s="11"/>
      <c r="I72" s="11"/>
      <c r="J72" s="11"/>
      <c r="K72" s="11" t="s">
        <v>245</v>
      </c>
      <c r="L72" s="11">
        <f>C2/C4*C5+C3</f>
        <v>34.118743252769718</v>
      </c>
    </row>
    <row r="73" spans="1:19">
      <c r="A73" s="12"/>
      <c r="B73" s="12">
        <v>0</v>
      </c>
      <c r="C73" s="12">
        <v>0</v>
      </c>
      <c r="D73" s="12">
        <v>0</v>
      </c>
      <c r="E73" s="11"/>
      <c r="F73" s="11"/>
      <c r="G73" s="11"/>
      <c r="H73" s="11"/>
      <c r="I73" s="11"/>
      <c r="J73" s="11"/>
    </row>
    <row r="74" spans="1:19">
      <c r="A74" s="12">
        <v>0</v>
      </c>
      <c r="B74" s="12">
        <v>0</v>
      </c>
      <c r="C74" s="12">
        <v>0</v>
      </c>
      <c r="D74" s="12">
        <f>F68</f>
        <v>0.62775570493955823</v>
      </c>
      <c r="E74" s="11"/>
      <c r="F74" s="11"/>
      <c r="G74" s="11"/>
      <c r="H74" s="11"/>
      <c r="I74" s="11"/>
      <c r="J74" s="11"/>
      <c r="K74" s="11"/>
      <c r="L74" s="11"/>
    </row>
    <row r="75" spans="1:19">
      <c r="A75" s="12" t="s">
        <v>213</v>
      </c>
      <c r="B75" s="12">
        <f>C68</f>
        <v>0.57153336087245865</v>
      </c>
      <c r="C75" s="12">
        <v>0</v>
      </c>
      <c r="D75" s="12">
        <f>F69</f>
        <v>2.4043246964439979</v>
      </c>
      <c r="E75" s="11"/>
      <c r="F75" s="11"/>
      <c r="G75" s="11"/>
      <c r="H75" s="11"/>
      <c r="I75" s="11"/>
      <c r="J75" s="11"/>
      <c r="K75" s="11"/>
      <c r="L75" s="11"/>
    </row>
    <row r="76" spans="1:19">
      <c r="A76" s="12" t="s">
        <v>213</v>
      </c>
      <c r="B76" s="12">
        <f>C68</f>
        <v>0.57153336087245865</v>
      </c>
      <c r="C76" s="12">
        <f>C2+C3/C5*C4+電流臨界モード!G27</f>
        <v>223.33954509902838</v>
      </c>
      <c r="D76" s="12">
        <v>0</v>
      </c>
      <c r="E76" s="11"/>
      <c r="F76" s="11"/>
      <c r="G76" s="11"/>
      <c r="H76" s="11"/>
      <c r="I76" s="11"/>
      <c r="J76" s="11"/>
      <c r="K76" s="11"/>
      <c r="L76" s="11"/>
    </row>
    <row r="77" spans="1:19">
      <c r="A77" s="12"/>
      <c r="B77" s="12">
        <f>C68</f>
        <v>0.57153336087245865</v>
      </c>
      <c r="C77" s="12">
        <f>C2+C3/C5*C4</f>
        <v>193.33954509902838</v>
      </c>
      <c r="D77" s="12">
        <v>0</v>
      </c>
      <c r="E77" s="11"/>
      <c r="F77" s="11"/>
      <c r="G77" s="11"/>
      <c r="H77" s="11"/>
      <c r="I77" s="11"/>
      <c r="J77" s="11"/>
      <c r="K77" s="11"/>
      <c r="L77" s="11"/>
    </row>
    <row r="78" spans="1:19">
      <c r="A78" s="12" t="s">
        <v>214</v>
      </c>
      <c r="B78" s="12">
        <f>C69</f>
        <v>1</v>
      </c>
      <c r="C78" s="12">
        <f>C2+C3/C5*C4</f>
        <v>193.33954509902838</v>
      </c>
      <c r="D78" s="12">
        <v>0</v>
      </c>
      <c r="E78" s="11"/>
      <c r="F78" s="11"/>
      <c r="G78" s="11"/>
      <c r="H78" s="11"/>
      <c r="I78" s="11"/>
      <c r="J78" s="11"/>
      <c r="K78" s="11"/>
      <c r="L78" s="11"/>
    </row>
    <row r="79" spans="1:19">
      <c r="A79" s="12" t="s">
        <v>214</v>
      </c>
      <c r="B79" s="12">
        <f>C69</f>
        <v>1</v>
      </c>
      <c r="C79" s="20">
        <f>C2</f>
        <v>82.839545099028413</v>
      </c>
      <c r="D79" s="12">
        <v>0</v>
      </c>
      <c r="E79" s="11"/>
      <c r="F79" s="11"/>
      <c r="G79" s="11"/>
      <c r="H79" s="11"/>
      <c r="I79" s="11"/>
      <c r="J79" s="11"/>
      <c r="K79" s="11"/>
      <c r="L79" s="11"/>
    </row>
    <row r="80" spans="1:19">
      <c r="A80" s="12">
        <v>1</v>
      </c>
      <c r="B80" s="12">
        <v>1</v>
      </c>
      <c r="C80" s="20">
        <f>C2</f>
        <v>82.839545099028413</v>
      </c>
      <c r="D80" s="12">
        <v>0</v>
      </c>
      <c r="E80" s="11"/>
      <c r="F80" s="11"/>
      <c r="G80" s="11"/>
      <c r="H80" s="11"/>
      <c r="I80" s="11"/>
      <c r="J80" s="11"/>
      <c r="K80" s="11"/>
      <c r="L80" s="11"/>
    </row>
    <row r="81" spans="1:12">
      <c r="A81" s="12">
        <v>1</v>
      </c>
      <c r="B81" s="12">
        <v>1</v>
      </c>
      <c r="C81" s="12">
        <v>0</v>
      </c>
      <c r="D81" s="12">
        <v>0</v>
      </c>
      <c r="E81" s="11"/>
      <c r="F81" s="11"/>
      <c r="G81" s="11"/>
      <c r="H81" s="11"/>
      <c r="I81" s="11"/>
      <c r="J81" s="11"/>
      <c r="K81" s="11"/>
      <c r="L81" s="11"/>
    </row>
    <row r="82" spans="1: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電流臨界モード</vt:lpstr>
      <vt:lpstr>電流連続モード</vt:lpstr>
      <vt:lpstr>パラメータ入力(連続動作状態チェック)</vt:lpstr>
      <vt:lpstr>パラメータ入力(連続定格出力)</vt:lpstr>
      <vt:lpstr>パラメータ入力(臨界動作状態チェック)</vt:lpstr>
      <vt:lpstr>パラメータ入力(臨界定格出力)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2016-02-17T07:23:14Z</cp:lastPrinted>
  <dcterms:created xsi:type="dcterms:W3CDTF">2016-02-09T05:28:01Z</dcterms:created>
  <dcterms:modified xsi:type="dcterms:W3CDTF">2016-07-04T02:12:35Z</dcterms:modified>
</cp:coreProperties>
</file>